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tabRatio="874" activeTab="0"/>
  </bookViews>
  <sheets>
    <sheet name="Потери 2023 г" sheetId="1" r:id="rId1"/>
  </sheets>
  <definedNames>
    <definedName name="_xlnm.Print_Area" localSheetId="0">'Потери 2023 г'!$A$1:$T$46</definedName>
  </definedNames>
  <calcPr fullCalcOnLoad="1"/>
</workbook>
</file>

<file path=xl/sharedStrings.xml><?xml version="1.0" encoding="utf-8"?>
<sst xmlns="http://schemas.openxmlformats.org/spreadsheetml/2006/main" count="97" uniqueCount="48">
  <si>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</si>
  <si>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</si>
  <si>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</si>
  <si>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</si>
  <si>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</si>
  <si>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</si>
  <si>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</si>
  <si>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</si>
  <si>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</si>
  <si>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</si>
  <si>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</si>
  <si>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</si>
  <si>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</si>
  <si>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</si>
  <si>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</si>
  <si>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</si>
  <si>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</si>
  <si>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</si>
  <si>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</si>
  <si>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</si>
  <si>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</si>
  <si>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</si>
  <si>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</si>
  <si>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</si>
  <si>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</si>
  <si>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</si>
  <si>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</si>
  <si>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</si>
  <si>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</si>
  <si>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</si>
  <si>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</si>
  <si>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</si>
  <si>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</si>
  <si>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</si>
  <si>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</si>
  <si>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</si>
  <si>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</si>
  <si>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</si>
  <si>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</si>
  <si>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</si>
  <si>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</si>
  <si>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</si>
  <si>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</si>
  <si>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</si>
  <si>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Затраты  на  покупку  потерь                                 (руб)</t>
  </si>
  <si>
    <t>Собственные  нужды</t>
  </si>
  <si>
    <t>договор купли -продажи № 652-П от 01.01.2020г ООО "Арктик-энерго"</t>
  </si>
  <si>
    <t>ФАКТ 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</si>
</sst>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47" fillId="0" borderId="10" xfId="0" applyNumberFormat="1" applyFont="1" applyBorder="1" applyAlignment="1">
      <alignment vertical="center"/>
    </xf>
    <xf numFmtId="191" fontId="48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193" fontId="2" fillId="0" borderId="12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0" fillId="35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47"/>
  <sheetViews>
    <sheetView tabSelected="1" zoomScale="90" zoomScaleNormal="90" zoomScalePageLayoutView="0" workbookViewId="0" topLeftCell="A10">
      <selection activeCell="S43" sqref="S43"/>
    </sheetView>
  </sheetViews>
  <sheetFormatPr defaultColWidth="9.140625" defaultRowHeight="15"/>
  <cols>
    <col min="1" max="1" width="14.281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3.28125" style="0" customWidth="1"/>
    <col min="15" max="15" width="9.57421875" style="0" customWidth="1"/>
    <col min="16" max="16" width="13.140625" style="0" customWidth="1"/>
    <col min="17" max="17" width="12.8515625" style="0" customWidth="1"/>
    <col min="18" max="18" width="14.140625" style="0" customWidth="1"/>
    <col min="19" max="19" width="13.28125" style="0" customWidth="1"/>
    <col min="20" max="20" width="25.28125" style="0" customWidth="1"/>
    <col min="21" max="21" width="10.00390625" style="0" bestFit="1" customWidth="1"/>
    <col min="22" max="22" width="11.28125" style="0" bestFit="1" customWidth="1"/>
  </cols>
  <sheetData>
    <row r="1" spans="1:20" ht="18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T1" t="s">
        <v>42</v>
      </c>
    </row>
    <row r="2" spans="1:19" ht="24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9:13" ht="18.75">
      <c r="I3" s="56" t="s">
        <v>47</v>
      </c>
      <c r="J3" s="58"/>
      <c r="K3" s="58"/>
      <c r="L3" s="58"/>
      <c r="M3" s="58"/>
    </row>
    <row r="4" ht="24.75" customHeight="1">
      <c r="D4" s="26"/>
    </row>
    <row r="5" spans="1:20" ht="18.75" customHeight="1">
      <c r="A5" s="35" t="s">
        <v>0</v>
      </c>
      <c r="B5" s="42" t="s">
        <v>13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 t="s">
        <v>29</v>
      </c>
      <c r="O5" s="45"/>
      <c r="P5" s="44" t="s">
        <v>44</v>
      </c>
      <c r="Q5" s="48"/>
      <c r="R5" s="45"/>
      <c r="S5" s="50" t="s">
        <v>30</v>
      </c>
      <c r="T5" s="50" t="s">
        <v>31</v>
      </c>
    </row>
    <row r="6" spans="1:20" ht="17.25" customHeight="1">
      <c r="A6" s="35"/>
      <c r="B6" s="31" t="s">
        <v>14</v>
      </c>
      <c r="C6" s="53" t="s">
        <v>45</v>
      </c>
      <c r="D6" s="31" t="s">
        <v>17</v>
      </c>
      <c r="E6" s="39" t="s">
        <v>18</v>
      </c>
      <c r="F6" s="40"/>
      <c r="G6" s="41"/>
      <c r="H6" s="35" t="s">
        <v>19</v>
      </c>
      <c r="I6" s="36" t="s">
        <v>15</v>
      </c>
      <c r="J6" s="39" t="s">
        <v>20</v>
      </c>
      <c r="K6" s="40"/>
      <c r="L6" s="40"/>
      <c r="M6" s="41"/>
      <c r="N6" s="46"/>
      <c r="O6" s="47"/>
      <c r="P6" s="46"/>
      <c r="Q6" s="49"/>
      <c r="R6" s="47"/>
      <c r="S6" s="51"/>
      <c r="T6" s="51"/>
    </row>
    <row r="7" spans="1:20" ht="29.25" customHeight="1">
      <c r="A7" s="35"/>
      <c r="B7" s="31"/>
      <c r="C7" s="54"/>
      <c r="D7" s="31"/>
      <c r="E7" s="39" t="s">
        <v>40</v>
      </c>
      <c r="F7" s="40"/>
      <c r="G7" s="41"/>
      <c r="H7" s="35"/>
      <c r="I7" s="37"/>
      <c r="J7" s="35" t="s">
        <v>21</v>
      </c>
      <c r="K7" s="35"/>
      <c r="L7" s="39" t="s">
        <v>22</v>
      </c>
      <c r="M7" s="41"/>
      <c r="N7" s="31" t="s">
        <v>24</v>
      </c>
      <c r="O7" s="31" t="s">
        <v>25</v>
      </c>
      <c r="P7" s="31" t="s">
        <v>26</v>
      </c>
      <c r="Q7" s="31" t="s">
        <v>27</v>
      </c>
      <c r="R7" s="31" t="s">
        <v>28</v>
      </c>
      <c r="S7" s="51"/>
      <c r="T7" s="51"/>
    </row>
    <row r="8" spans="1:20" ht="68.25" customHeight="1">
      <c r="A8" s="35"/>
      <c r="B8" s="31"/>
      <c r="C8" s="55"/>
      <c r="D8" s="31"/>
      <c r="E8" s="21" t="s">
        <v>34</v>
      </c>
      <c r="F8" s="21" t="s">
        <v>35</v>
      </c>
      <c r="G8" s="21" t="s">
        <v>36</v>
      </c>
      <c r="H8" s="35"/>
      <c r="I8" s="38"/>
      <c r="J8" s="21" t="s">
        <v>18</v>
      </c>
      <c r="K8" s="20" t="s">
        <v>23</v>
      </c>
      <c r="L8" s="21" t="s">
        <v>18</v>
      </c>
      <c r="M8" s="20" t="s">
        <v>23</v>
      </c>
      <c r="N8" s="31"/>
      <c r="O8" s="31"/>
      <c r="P8" s="31"/>
      <c r="Q8" s="31"/>
      <c r="R8" s="31"/>
      <c r="S8" s="52"/>
      <c r="T8" s="52"/>
    </row>
    <row r="9" spans="1:20" ht="12.75" customHeight="1">
      <c r="A9" s="19">
        <v>1</v>
      </c>
      <c r="B9" s="19">
        <v>2</v>
      </c>
      <c r="C9" s="19">
        <v>3</v>
      </c>
      <c r="D9" s="19">
        <v>4</v>
      </c>
      <c r="E9" s="19" t="s">
        <v>37</v>
      </c>
      <c r="F9" s="19" t="s">
        <v>38</v>
      </c>
      <c r="G9" s="19" t="s">
        <v>39</v>
      </c>
      <c r="H9" s="19" t="s">
        <v>41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22">
        <v>11</v>
      </c>
      <c r="O9" s="19">
        <v>12</v>
      </c>
      <c r="P9" s="22">
        <v>13</v>
      </c>
      <c r="Q9" s="22">
        <v>14</v>
      </c>
      <c r="R9" s="19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18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f>11536533-183653</f>
        <v>11352880</v>
      </c>
      <c r="C11" s="2">
        <v>90921</v>
      </c>
      <c r="D11" s="2">
        <v>9717120</v>
      </c>
      <c r="E11" s="2">
        <v>35902</v>
      </c>
      <c r="F11" s="2">
        <v>556858</v>
      </c>
      <c r="G11" s="2">
        <v>952079</v>
      </c>
      <c r="H11" s="2">
        <f>B11-C11-D11</f>
        <v>1544839</v>
      </c>
      <c r="I11" s="10">
        <f>H11/B11*100</f>
        <v>13.607463480632227</v>
      </c>
      <c r="J11" s="27">
        <v>1370900</v>
      </c>
      <c r="K11" s="12">
        <f>J11/B11*100</f>
        <v>12.075350043337021</v>
      </c>
      <c r="L11" s="2">
        <f>H11-J11</f>
        <v>173939</v>
      </c>
      <c r="M11" s="12">
        <f>L11/B11*100</f>
        <v>1.532113437295206</v>
      </c>
      <c r="N11" s="23">
        <v>3.10086</v>
      </c>
      <c r="O11" s="23">
        <v>2.6199</v>
      </c>
      <c r="P11" s="13">
        <f>ROUND(J11*N11,2)</f>
        <v>4250968.97</v>
      </c>
      <c r="Q11" s="13">
        <f>ROUND(L11*O11,2)</f>
        <v>455702.79</v>
      </c>
      <c r="R11" s="3">
        <f>P11+Q11</f>
        <v>4706671.76</v>
      </c>
      <c r="S11" s="14">
        <f>R11*1.2</f>
        <v>5648006.112</v>
      </c>
      <c r="T11" s="32" t="s">
        <v>43</v>
      </c>
    </row>
    <row r="12" spans="1:20" ht="14.25" customHeight="1">
      <c r="A12" s="1" t="s">
        <v>2</v>
      </c>
      <c r="B12" s="2">
        <f>10269778-158455</f>
        <v>10111323</v>
      </c>
      <c r="C12" s="2">
        <v>80432</v>
      </c>
      <c r="D12" s="2">
        <v>9153222</v>
      </c>
      <c r="E12" s="2">
        <v>31946</v>
      </c>
      <c r="F12" s="2">
        <v>393625</v>
      </c>
      <c r="G12" s="2">
        <v>452098</v>
      </c>
      <c r="H12" s="2">
        <f aca="true" t="shared" si="0" ref="H12:H22">B12-C12-D12</f>
        <v>877669</v>
      </c>
      <c r="I12" s="10">
        <f aca="true" t="shared" si="1" ref="I12:I22">H12/B12*100</f>
        <v>8.680060957403892</v>
      </c>
      <c r="J12" s="2">
        <v>877669</v>
      </c>
      <c r="K12" s="12">
        <f aca="true" t="shared" si="2" ref="K12:K22">J12/B12*100</f>
        <v>8.680060957403892</v>
      </c>
      <c r="L12" s="2">
        <f aca="true" t="shared" si="3" ref="L12:L22">H12-J12</f>
        <v>0</v>
      </c>
      <c r="M12" s="12">
        <f aca="true" t="shared" si="4" ref="M12:M22">L12/B12*100</f>
        <v>0</v>
      </c>
      <c r="N12" s="23">
        <v>3.45961</v>
      </c>
      <c r="O12" s="23">
        <v>2.97865</v>
      </c>
      <c r="P12" s="13">
        <f>ROUND(J12*N12,2)</f>
        <v>3036392.45</v>
      </c>
      <c r="Q12" s="13">
        <f>ROUND(L12*O12,2)</f>
        <v>0</v>
      </c>
      <c r="R12" s="3">
        <f aca="true" t="shared" si="5" ref="R12:R22">P12+Q12</f>
        <v>3036392.45</v>
      </c>
      <c r="S12" s="14">
        <f>ROUNDDOWN(R12*1.2,2)</f>
        <v>3643670.94</v>
      </c>
      <c r="T12" s="33"/>
    </row>
    <row r="13" spans="1:20" ht="15">
      <c r="A13" s="1" t="s">
        <v>3</v>
      </c>
      <c r="B13" s="2">
        <f>10943434-173516</f>
        <v>10769918</v>
      </c>
      <c r="C13" s="2">
        <v>76722</v>
      </c>
      <c r="D13" s="2">
        <v>8808407</v>
      </c>
      <c r="E13" s="2">
        <v>33637</v>
      </c>
      <c r="F13" s="2">
        <v>628935</v>
      </c>
      <c r="G13" s="2">
        <v>1222217</v>
      </c>
      <c r="H13" s="2">
        <f t="shared" si="0"/>
        <v>1884789</v>
      </c>
      <c r="I13" s="10">
        <f t="shared" si="1"/>
        <v>17.500495361246017</v>
      </c>
      <c r="J13" s="25">
        <v>1210100</v>
      </c>
      <c r="K13" s="12">
        <f t="shared" si="2"/>
        <v>11.235925844560748</v>
      </c>
      <c r="L13" s="2">
        <f>H13-J13</f>
        <v>674689</v>
      </c>
      <c r="M13" s="12">
        <f t="shared" si="4"/>
        <v>6.264569516685271</v>
      </c>
      <c r="N13" s="23">
        <v>3.23782</v>
      </c>
      <c r="O13" s="23">
        <v>2.75686</v>
      </c>
      <c r="P13" s="13">
        <f>ROUND(J13*N13,2)</f>
        <v>3918085.98</v>
      </c>
      <c r="Q13" s="13">
        <f>ROUND(L13*O13,2)</f>
        <v>1860023.12</v>
      </c>
      <c r="R13" s="3">
        <f t="shared" si="5"/>
        <v>5778109.1</v>
      </c>
      <c r="S13" s="14">
        <f>R13*1.2</f>
        <v>6933730.919999999</v>
      </c>
      <c r="T13" s="33"/>
    </row>
    <row r="14" spans="1:20" ht="15" customHeight="1">
      <c r="A14" s="1" t="s">
        <v>4</v>
      </c>
      <c r="B14" s="2">
        <f>9212990-155641</f>
        <v>9057349</v>
      </c>
      <c r="C14" s="2">
        <v>70929</v>
      </c>
      <c r="D14" s="2">
        <f>7934524-70929</f>
        <v>7863595</v>
      </c>
      <c r="E14" s="2">
        <v>27935</v>
      </c>
      <c r="F14" s="2">
        <v>424483</v>
      </c>
      <c r="G14" s="2">
        <v>670407</v>
      </c>
      <c r="H14" s="2">
        <f t="shared" si="0"/>
        <v>1122825</v>
      </c>
      <c r="I14" s="10">
        <f t="shared" si="1"/>
        <v>12.396839295913185</v>
      </c>
      <c r="J14" s="25">
        <v>1122825</v>
      </c>
      <c r="K14" s="12">
        <f t="shared" si="2"/>
        <v>12.396839295913185</v>
      </c>
      <c r="L14" s="2">
        <f t="shared" si="3"/>
        <v>0</v>
      </c>
      <c r="M14" s="12">
        <f t="shared" si="4"/>
        <v>0</v>
      </c>
      <c r="N14" s="23">
        <v>3.1169</v>
      </c>
      <c r="O14" s="23">
        <v>2.63594</v>
      </c>
      <c r="P14" s="13">
        <f aca="true" t="shared" si="6" ref="P14:P22">ROUND(J14*N14,2)</f>
        <v>3499733.24</v>
      </c>
      <c r="Q14" s="13">
        <f aca="true" t="shared" si="7" ref="Q14:Q22">ROUND(L14*O14,2)</f>
        <v>0</v>
      </c>
      <c r="R14" s="3">
        <f t="shared" si="5"/>
        <v>3499733.24</v>
      </c>
      <c r="S14" s="14">
        <f>R14*1.2</f>
        <v>4199679.888</v>
      </c>
      <c r="T14" s="33"/>
    </row>
    <row r="15" spans="1:20" ht="15">
      <c r="A15" s="1" t="s">
        <v>5</v>
      </c>
      <c r="B15" s="2">
        <f>8326736-147694</f>
        <v>8179042</v>
      </c>
      <c r="C15" s="2">
        <v>34111</v>
      </c>
      <c r="D15" s="2">
        <f>7169353-34111</f>
        <v>7135242</v>
      </c>
      <c r="E15" s="2">
        <v>25599</v>
      </c>
      <c r="F15" s="2">
        <v>309089</v>
      </c>
      <c r="G15" s="2">
        <v>675001</v>
      </c>
      <c r="H15" s="2">
        <f t="shared" si="0"/>
        <v>1009689</v>
      </c>
      <c r="I15" s="10">
        <f t="shared" si="1"/>
        <v>12.34483207202017</v>
      </c>
      <c r="J15" s="25">
        <v>997400</v>
      </c>
      <c r="K15" s="12">
        <f t="shared" si="2"/>
        <v>12.194582201680833</v>
      </c>
      <c r="L15" s="2">
        <f t="shared" si="3"/>
        <v>12289</v>
      </c>
      <c r="M15" s="12">
        <f t="shared" si="4"/>
        <v>0.15024987033933804</v>
      </c>
      <c r="N15" s="23">
        <v>3.10435</v>
      </c>
      <c r="O15" s="23">
        <v>2.62339</v>
      </c>
      <c r="P15" s="13">
        <f>ROUNDDOWN(J15*N15,2)</f>
        <v>3096278.69</v>
      </c>
      <c r="Q15" s="13">
        <f t="shared" si="7"/>
        <v>32238.84</v>
      </c>
      <c r="R15" s="3">
        <f>P15+Q15</f>
        <v>3128517.53</v>
      </c>
      <c r="S15" s="14">
        <f aca="true" t="shared" si="8" ref="S15:S20">R15*1.2</f>
        <v>3754221.036</v>
      </c>
      <c r="T15" s="33"/>
    </row>
    <row r="16" spans="1:20" ht="15">
      <c r="A16" s="1" t="s">
        <v>6</v>
      </c>
      <c r="B16" s="2">
        <f>8598570-124409</f>
        <v>8474161</v>
      </c>
      <c r="C16" s="2">
        <v>26106</v>
      </c>
      <c r="D16" s="2">
        <f>8016511-26106</f>
        <v>7990405</v>
      </c>
      <c r="E16" s="2">
        <v>28420</v>
      </c>
      <c r="F16" s="2">
        <v>268141</v>
      </c>
      <c r="G16" s="2">
        <v>161089</v>
      </c>
      <c r="H16" s="2">
        <f t="shared" si="0"/>
        <v>457650</v>
      </c>
      <c r="I16" s="10">
        <f t="shared" si="1"/>
        <v>5.400534636998282</v>
      </c>
      <c r="J16" s="25">
        <v>457650</v>
      </c>
      <c r="K16" s="12">
        <f t="shared" si="2"/>
        <v>5.400534636998282</v>
      </c>
      <c r="L16" s="2">
        <f>H16-J16</f>
        <v>0</v>
      </c>
      <c r="M16" s="12">
        <f t="shared" si="4"/>
        <v>0</v>
      </c>
      <c r="N16" s="23">
        <v>3.34118</v>
      </c>
      <c r="O16" s="23">
        <v>2.86022</v>
      </c>
      <c r="P16" s="13">
        <f t="shared" si="6"/>
        <v>1529091.03</v>
      </c>
      <c r="Q16" s="13">
        <f t="shared" si="7"/>
        <v>0</v>
      </c>
      <c r="R16" s="3">
        <f t="shared" si="5"/>
        <v>1529091.03</v>
      </c>
      <c r="S16" s="14">
        <f t="shared" si="8"/>
        <v>1834909.236</v>
      </c>
      <c r="T16" s="33"/>
    </row>
    <row r="17" spans="1:22" ht="15">
      <c r="A17" s="1" t="s">
        <v>7</v>
      </c>
      <c r="B17" s="2">
        <f>7677371-117491</f>
        <v>7559880</v>
      </c>
      <c r="C17" s="2">
        <v>15445</v>
      </c>
      <c r="D17" s="2">
        <f>6528494-15445</f>
        <v>6513049</v>
      </c>
      <c r="E17" s="2">
        <v>24399</v>
      </c>
      <c r="F17" s="2">
        <v>412135</v>
      </c>
      <c r="G17" s="2">
        <v>594852</v>
      </c>
      <c r="H17" s="2">
        <f t="shared" si="0"/>
        <v>1031386</v>
      </c>
      <c r="I17" s="10">
        <f t="shared" si="1"/>
        <v>13.642888511457855</v>
      </c>
      <c r="J17" s="25">
        <v>1031386</v>
      </c>
      <c r="K17" s="12">
        <f t="shared" si="2"/>
        <v>13.642888511457855</v>
      </c>
      <c r="L17" s="2">
        <f t="shared" si="3"/>
        <v>0</v>
      </c>
      <c r="M17" s="12">
        <f t="shared" si="4"/>
        <v>0</v>
      </c>
      <c r="N17" s="23">
        <v>3.22207</v>
      </c>
      <c r="O17" s="23">
        <v>2.74111</v>
      </c>
      <c r="P17" s="13">
        <f t="shared" si="6"/>
        <v>3323197.89</v>
      </c>
      <c r="Q17" s="13">
        <f t="shared" si="7"/>
        <v>0</v>
      </c>
      <c r="R17" s="3">
        <f t="shared" si="5"/>
        <v>3323197.89</v>
      </c>
      <c r="S17" s="14">
        <f t="shared" si="8"/>
        <v>3987837.468</v>
      </c>
      <c r="T17" s="33"/>
      <c r="V17" s="15"/>
    </row>
    <row r="18" spans="1:20" ht="15" customHeight="1">
      <c r="A18" s="1" t="s">
        <v>8</v>
      </c>
      <c r="B18" s="2">
        <f>7634875-113912</f>
        <v>7520963</v>
      </c>
      <c r="C18" s="2">
        <v>17099</v>
      </c>
      <c r="D18" s="2">
        <f>6504323-17099</f>
        <v>6487224</v>
      </c>
      <c r="E18" s="2">
        <v>23441</v>
      </c>
      <c r="F18" s="2">
        <v>342928</v>
      </c>
      <c r="G18" s="2">
        <v>650271</v>
      </c>
      <c r="H18" s="2">
        <f t="shared" si="0"/>
        <v>1016640</v>
      </c>
      <c r="I18" s="10">
        <f t="shared" si="1"/>
        <v>13.517417915764243</v>
      </c>
      <c r="J18" s="25">
        <v>1016640</v>
      </c>
      <c r="K18" s="12">
        <f t="shared" si="2"/>
        <v>13.517417915764243</v>
      </c>
      <c r="L18" s="2">
        <f t="shared" si="3"/>
        <v>0</v>
      </c>
      <c r="M18" s="12">
        <f t="shared" si="4"/>
        <v>0</v>
      </c>
      <c r="N18" s="23">
        <v>2.97497</v>
      </c>
      <c r="O18" s="23">
        <v>2.49401</v>
      </c>
      <c r="P18" s="13">
        <f t="shared" si="6"/>
        <v>3024473.5</v>
      </c>
      <c r="Q18" s="13">
        <f t="shared" si="7"/>
        <v>0</v>
      </c>
      <c r="R18" s="3">
        <f t="shared" si="5"/>
        <v>3024473.5</v>
      </c>
      <c r="S18" s="14">
        <f>FLOOR(R18*1.2,0.01)</f>
        <v>3629368.2</v>
      </c>
      <c r="T18" s="33"/>
    </row>
    <row r="19" spans="1:20" ht="15">
      <c r="A19" s="1" t="s">
        <v>9</v>
      </c>
      <c r="B19" s="2">
        <f>8992450-134818</f>
        <v>8857632</v>
      </c>
      <c r="C19" s="2">
        <v>37751</v>
      </c>
      <c r="D19" s="2">
        <f>8140753-37751</f>
        <v>8103002</v>
      </c>
      <c r="E19" s="2">
        <v>28772</v>
      </c>
      <c r="F19" s="2">
        <v>249418</v>
      </c>
      <c r="G19" s="2">
        <v>438689</v>
      </c>
      <c r="H19" s="2">
        <f t="shared" si="0"/>
        <v>716879</v>
      </c>
      <c r="I19" s="10">
        <f t="shared" si="1"/>
        <v>8.093348199609105</v>
      </c>
      <c r="J19" s="25">
        <v>716879</v>
      </c>
      <c r="K19" s="12">
        <f t="shared" si="2"/>
        <v>8.093348199609105</v>
      </c>
      <c r="L19" s="2">
        <f t="shared" si="3"/>
        <v>0</v>
      </c>
      <c r="M19" s="12">
        <f t="shared" si="4"/>
        <v>0</v>
      </c>
      <c r="N19" s="23">
        <v>3.22349</v>
      </c>
      <c r="O19" s="23">
        <v>2.74253</v>
      </c>
      <c r="P19" s="13">
        <f t="shared" si="6"/>
        <v>2310852.29</v>
      </c>
      <c r="Q19" s="13">
        <f t="shared" si="7"/>
        <v>0</v>
      </c>
      <c r="R19" s="3">
        <f t="shared" si="5"/>
        <v>2310852.29</v>
      </c>
      <c r="S19" s="14">
        <f t="shared" si="8"/>
        <v>2773022.748</v>
      </c>
      <c r="T19" s="33"/>
    </row>
    <row r="20" spans="1:20" ht="15">
      <c r="A20" s="1" t="s">
        <v>10</v>
      </c>
      <c r="B20" s="2">
        <f>9811951-166908</f>
        <v>9645043</v>
      </c>
      <c r="C20" s="2">
        <v>78211</v>
      </c>
      <c r="D20" s="2">
        <f>8059382-78211</f>
        <v>7981171</v>
      </c>
      <c r="E20" s="2">
        <v>30227</v>
      </c>
      <c r="F20" s="2">
        <v>492479</v>
      </c>
      <c r="G20" s="2">
        <v>1062955</v>
      </c>
      <c r="H20" s="2">
        <f t="shared" si="0"/>
        <v>1585661</v>
      </c>
      <c r="I20" s="10">
        <f t="shared" si="1"/>
        <v>16.440165170855124</v>
      </c>
      <c r="J20" s="25">
        <v>1192500</v>
      </c>
      <c r="K20" s="12">
        <f t="shared" si="2"/>
        <v>12.363864007656575</v>
      </c>
      <c r="L20" s="2">
        <f t="shared" si="3"/>
        <v>393161</v>
      </c>
      <c r="M20" s="12">
        <f t="shared" si="4"/>
        <v>4.076301163198546</v>
      </c>
      <c r="N20" s="23">
        <v>3.03917</v>
      </c>
      <c r="O20" s="23">
        <v>2.55821</v>
      </c>
      <c r="P20" s="13">
        <f t="shared" si="6"/>
        <v>3624210.23</v>
      </c>
      <c r="Q20" s="13">
        <f t="shared" si="7"/>
        <v>1005788.4</v>
      </c>
      <c r="R20" s="3">
        <f t="shared" si="5"/>
        <v>4629998.63</v>
      </c>
      <c r="S20" s="14">
        <f t="shared" si="8"/>
        <v>5555998.356</v>
      </c>
      <c r="T20" s="33"/>
    </row>
    <row r="21" spans="1:20" ht="15">
      <c r="A21" s="1" t="s">
        <v>11</v>
      </c>
      <c r="B21" s="2">
        <f>11459138-181003</f>
        <v>11278135</v>
      </c>
      <c r="C21" s="2">
        <v>127650</v>
      </c>
      <c r="D21" s="2">
        <f>9772082-127650</f>
        <v>9644432</v>
      </c>
      <c r="E21" s="2">
        <v>33624</v>
      </c>
      <c r="F21" s="2">
        <v>553518</v>
      </c>
      <c r="G21" s="2">
        <v>918911</v>
      </c>
      <c r="H21" s="2">
        <f t="shared" si="0"/>
        <v>1506053</v>
      </c>
      <c r="I21" s="10">
        <f t="shared" si="1"/>
        <v>13.353741553900534</v>
      </c>
      <c r="J21" s="25">
        <v>1326100</v>
      </c>
      <c r="K21" s="12">
        <f t="shared" si="2"/>
        <v>11.75814972954305</v>
      </c>
      <c r="L21" s="2">
        <f t="shared" si="3"/>
        <v>179953</v>
      </c>
      <c r="M21" s="12">
        <f t="shared" si="4"/>
        <v>1.5955918243574847</v>
      </c>
      <c r="N21" s="23">
        <v>3.13552</v>
      </c>
      <c r="O21" s="23">
        <v>2.65456</v>
      </c>
      <c r="P21" s="13">
        <f t="shared" si="6"/>
        <v>4158013.07</v>
      </c>
      <c r="Q21" s="13">
        <f t="shared" si="7"/>
        <v>477696.04</v>
      </c>
      <c r="R21" s="3">
        <f t="shared" si="5"/>
        <v>4635709.109999999</v>
      </c>
      <c r="S21" s="14">
        <f>ROUND(R21*1.2,2)</f>
        <v>5562850.93</v>
      </c>
      <c r="T21" s="33"/>
    </row>
    <row r="22" spans="1:20" ht="15" customHeight="1">
      <c r="A22" s="1" t="s">
        <v>12</v>
      </c>
      <c r="B22" s="2">
        <f>11773535-203417</f>
        <v>11570118</v>
      </c>
      <c r="C22" s="2">
        <v>113036</v>
      </c>
      <c r="D22" s="2">
        <f>9571484-113036</f>
        <v>9458448</v>
      </c>
      <c r="E22" s="2">
        <v>37241</v>
      </c>
      <c r="F22" s="2">
        <v>738087</v>
      </c>
      <c r="G22" s="2">
        <v>1223306</v>
      </c>
      <c r="H22" s="2">
        <f t="shared" si="0"/>
        <v>1998634</v>
      </c>
      <c r="I22" s="10">
        <f t="shared" si="1"/>
        <v>17.274102131024076</v>
      </c>
      <c r="J22" s="27">
        <v>1370600</v>
      </c>
      <c r="K22" s="12">
        <f t="shared" si="2"/>
        <v>11.846033030950938</v>
      </c>
      <c r="L22" s="2">
        <f t="shared" si="3"/>
        <v>628034</v>
      </c>
      <c r="M22" s="12">
        <f t="shared" si="4"/>
        <v>5.428069100073136</v>
      </c>
      <c r="N22" s="23">
        <v>2.94946</v>
      </c>
      <c r="O22" s="23">
        <v>2.4685</v>
      </c>
      <c r="P22" s="13">
        <f t="shared" si="6"/>
        <v>4042529.88</v>
      </c>
      <c r="Q22" s="13">
        <f t="shared" si="7"/>
        <v>1550301.93</v>
      </c>
      <c r="R22" s="3">
        <f t="shared" si="5"/>
        <v>5592831.81</v>
      </c>
      <c r="S22" s="14">
        <f>ROUNDUP(R22*1.2,2)</f>
        <v>6711398.18</v>
      </c>
      <c r="T22" s="34"/>
    </row>
    <row r="23" spans="1:20" ht="20.25" customHeight="1">
      <c r="A23" s="4" t="s">
        <v>16</v>
      </c>
      <c r="B23" s="5">
        <f aca="true" t="shared" si="9" ref="B23:H23">SUM(B11:B22)</f>
        <v>114376444</v>
      </c>
      <c r="C23" s="5">
        <f t="shared" si="9"/>
        <v>768413</v>
      </c>
      <c r="D23" s="5">
        <f t="shared" si="9"/>
        <v>98855317</v>
      </c>
      <c r="E23" s="5">
        <f t="shared" si="9"/>
        <v>361143</v>
      </c>
      <c r="F23" s="5">
        <f t="shared" si="9"/>
        <v>5369696</v>
      </c>
      <c r="G23" s="5">
        <f t="shared" si="9"/>
        <v>9021875</v>
      </c>
      <c r="H23" s="5">
        <f t="shared" si="9"/>
        <v>14752714</v>
      </c>
      <c r="I23" s="11">
        <f>H23/B23*100</f>
        <v>12.898384915691208</v>
      </c>
      <c r="J23" s="5">
        <f>SUM(J11:J22)</f>
        <v>12690649</v>
      </c>
      <c r="K23" s="8">
        <f>J23/B23*100</f>
        <v>11.095509316586202</v>
      </c>
      <c r="L23" s="5">
        <f>SUM(L11:L22)</f>
        <v>2062065</v>
      </c>
      <c r="M23" s="8">
        <f>L23/B23*100</f>
        <v>1.8028755991050045</v>
      </c>
      <c r="N23" s="24">
        <f>P23/J23</f>
        <v>3.137256985044658</v>
      </c>
      <c r="O23" s="24">
        <f>Q23/L23</f>
        <v>2.6098843246939354</v>
      </c>
      <c r="P23" s="16">
        <f>SUM(P11:P22)</f>
        <v>39813827.220000006</v>
      </c>
      <c r="Q23" s="16">
        <f>SUM(Q11:Q22)</f>
        <v>5381751.12</v>
      </c>
      <c r="R23" s="16">
        <f>SUM(R11:R22)</f>
        <v>45195578.34</v>
      </c>
      <c r="S23" s="16">
        <f>SUM(S11:S22)</f>
        <v>54234694.014</v>
      </c>
      <c r="T23" s="16"/>
    </row>
    <row r="24" ht="15">
      <c r="R24" s="28">
        <f>R23/H23</f>
        <v>3.063543314131895</v>
      </c>
    </row>
    <row r="25" spans="1:20" ht="18.75" customHeight="1">
      <c r="A25" s="35" t="s">
        <v>0</v>
      </c>
      <c r="B25" s="42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 t="s">
        <v>29</v>
      </c>
      <c r="O25" s="45"/>
      <c r="P25" s="44" t="s">
        <v>44</v>
      </c>
      <c r="Q25" s="48"/>
      <c r="R25" s="45"/>
      <c r="S25" s="50" t="s">
        <v>30</v>
      </c>
      <c r="T25" s="50" t="s">
        <v>31</v>
      </c>
    </row>
    <row r="26" spans="1:20" ht="17.25" customHeight="1">
      <c r="A26" s="35"/>
      <c r="B26" s="31" t="s">
        <v>14</v>
      </c>
      <c r="C26" s="53" t="s">
        <v>45</v>
      </c>
      <c r="D26" s="31" t="s">
        <v>17</v>
      </c>
      <c r="E26" s="39" t="s">
        <v>18</v>
      </c>
      <c r="F26" s="40"/>
      <c r="G26" s="41"/>
      <c r="H26" s="35" t="s">
        <v>19</v>
      </c>
      <c r="I26" s="36" t="s">
        <v>15</v>
      </c>
      <c r="J26" s="39" t="s">
        <v>20</v>
      </c>
      <c r="K26" s="40"/>
      <c r="L26" s="40"/>
      <c r="M26" s="41"/>
      <c r="N26" s="46"/>
      <c r="O26" s="47"/>
      <c r="P26" s="46"/>
      <c r="Q26" s="49"/>
      <c r="R26" s="47"/>
      <c r="S26" s="51"/>
      <c r="T26" s="51"/>
    </row>
    <row r="27" spans="1:20" ht="29.25" customHeight="1">
      <c r="A27" s="35"/>
      <c r="B27" s="31"/>
      <c r="C27" s="54"/>
      <c r="D27" s="31"/>
      <c r="E27" s="39" t="s">
        <v>40</v>
      </c>
      <c r="F27" s="40"/>
      <c r="G27" s="41"/>
      <c r="H27" s="35"/>
      <c r="I27" s="37"/>
      <c r="J27" s="35" t="s">
        <v>21</v>
      </c>
      <c r="K27" s="35"/>
      <c r="L27" s="39" t="s">
        <v>22</v>
      </c>
      <c r="M27" s="41"/>
      <c r="N27" s="31" t="s">
        <v>24</v>
      </c>
      <c r="O27" s="31" t="s">
        <v>25</v>
      </c>
      <c r="P27" s="31" t="s">
        <v>26</v>
      </c>
      <c r="Q27" s="31" t="s">
        <v>27</v>
      </c>
      <c r="R27" s="31" t="s">
        <v>28</v>
      </c>
      <c r="S27" s="51"/>
      <c r="T27" s="51"/>
    </row>
    <row r="28" spans="1:20" ht="68.25" customHeight="1">
      <c r="A28" s="35"/>
      <c r="B28" s="31"/>
      <c r="C28" s="55"/>
      <c r="D28" s="31"/>
      <c r="E28" s="21" t="s">
        <v>34</v>
      </c>
      <c r="F28" s="21" t="s">
        <v>35</v>
      </c>
      <c r="G28" s="21" t="s">
        <v>36</v>
      </c>
      <c r="H28" s="35"/>
      <c r="I28" s="38"/>
      <c r="J28" s="21" t="s">
        <v>18</v>
      </c>
      <c r="K28" s="20" t="s">
        <v>23</v>
      </c>
      <c r="L28" s="21" t="s">
        <v>18</v>
      </c>
      <c r="M28" s="20" t="s">
        <v>23</v>
      </c>
      <c r="N28" s="31"/>
      <c r="O28" s="31"/>
      <c r="P28" s="31"/>
      <c r="Q28" s="31"/>
      <c r="R28" s="31"/>
      <c r="S28" s="52"/>
      <c r="T28" s="52"/>
    </row>
    <row r="29" spans="1:20" ht="12.75" customHeight="1">
      <c r="A29" s="19">
        <v>1</v>
      </c>
      <c r="B29" s="19">
        <v>2</v>
      </c>
      <c r="C29" s="19">
        <v>3</v>
      </c>
      <c r="D29" s="19">
        <v>4</v>
      </c>
      <c r="E29" s="19" t="s">
        <v>37</v>
      </c>
      <c r="F29" s="19" t="s">
        <v>38</v>
      </c>
      <c r="G29" s="19" t="s">
        <v>39</v>
      </c>
      <c r="H29" s="19" t="s">
        <v>41</v>
      </c>
      <c r="I29" s="19">
        <v>6</v>
      </c>
      <c r="J29" s="19">
        <v>7</v>
      </c>
      <c r="K29" s="19">
        <v>8</v>
      </c>
      <c r="L29" s="19">
        <v>9</v>
      </c>
      <c r="M29" s="19">
        <v>10</v>
      </c>
      <c r="N29" s="22">
        <v>11</v>
      </c>
      <c r="O29" s="19">
        <v>12</v>
      </c>
      <c r="P29" s="22">
        <v>13</v>
      </c>
      <c r="Q29" s="22">
        <v>14</v>
      </c>
      <c r="R29" s="19">
        <v>15</v>
      </c>
      <c r="S29" s="9">
        <v>16</v>
      </c>
      <c r="T29" s="9">
        <v>17</v>
      </c>
    </row>
    <row r="30" spans="1:20" ht="15" customHeight="1">
      <c r="A30" s="6"/>
      <c r="B30" s="6"/>
      <c r="C30" s="6"/>
      <c r="D30" s="6"/>
      <c r="E30" s="6"/>
      <c r="F30" s="6"/>
      <c r="G30" s="6"/>
      <c r="H30" s="18" t="s">
        <v>32</v>
      </c>
      <c r="I30" s="6"/>
      <c r="J30" s="6"/>
      <c r="K30" s="6"/>
      <c r="L30" s="6"/>
      <c r="M30" s="6"/>
      <c r="N30" s="7"/>
      <c r="O30" s="6"/>
      <c r="P30" s="7"/>
      <c r="Q30" s="7"/>
      <c r="R30" s="6"/>
      <c r="S30" s="1"/>
      <c r="T30" s="17"/>
    </row>
    <row r="31" spans="1:20" ht="15">
      <c r="A31" s="1" t="s">
        <v>1</v>
      </c>
      <c r="B31" s="2">
        <v>3703425</v>
      </c>
      <c r="C31" s="2"/>
      <c r="D31" s="2">
        <v>3690283</v>
      </c>
      <c r="E31" s="2">
        <v>12200</v>
      </c>
      <c r="F31" s="2">
        <v>0</v>
      </c>
      <c r="G31" s="2">
        <v>0</v>
      </c>
      <c r="H31" s="2">
        <f>B31-C31-D31</f>
        <v>13142</v>
      </c>
      <c r="I31" s="10">
        <f>H31/B31*100</f>
        <v>0.3548607032679209</v>
      </c>
      <c r="J31" s="25">
        <v>12200</v>
      </c>
      <c r="K31" s="12">
        <f>J31/B31*100</f>
        <v>0.3294247892153885</v>
      </c>
      <c r="L31" s="2">
        <f>H31-J31</f>
        <v>942</v>
      </c>
      <c r="M31" s="12">
        <f>L31/B31*100</f>
        <v>0.02543591405253245</v>
      </c>
      <c r="N31" s="23">
        <v>2.9858</v>
      </c>
      <c r="O31" s="23">
        <v>2.32392</v>
      </c>
      <c r="P31" s="13">
        <f>ROUND(J31*N31,2)</f>
        <v>36426.76</v>
      </c>
      <c r="Q31" s="13">
        <f>ROUND(L31*O31,2)</f>
        <v>2189.13</v>
      </c>
      <c r="R31" s="3">
        <f>P31+Q31</f>
        <v>38615.89</v>
      </c>
      <c r="S31" s="14">
        <f>R31*1.2</f>
        <v>46339.068</v>
      </c>
      <c r="T31" s="32" t="s">
        <v>46</v>
      </c>
    </row>
    <row r="32" spans="1:20" ht="14.25" customHeight="1">
      <c r="A32" s="1" t="s">
        <v>2</v>
      </c>
      <c r="B32" s="2">
        <v>3290414</v>
      </c>
      <c r="C32" s="2"/>
      <c r="D32" s="2">
        <v>3278734</v>
      </c>
      <c r="E32" s="2">
        <v>11680</v>
      </c>
      <c r="F32" s="2">
        <v>0</v>
      </c>
      <c r="G32" s="2">
        <v>0</v>
      </c>
      <c r="H32" s="2">
        <f aca="true" t="shared" si="10" ref="H32:H42">B32-C32-D32</f>
        <v>11680</v>
      </c>
      <c r="I32" s="10">
        <f aca="true" t="shared" si="11" ref="I32:I42">H32/B32*100</f>
        <v>0.3549705295443066</v>
      </c>
      <c r="J32" s="2">
        <v>11680</v>
      </c>
      <c r="K32" s="12">
        <f aca="true" t="shared" si="12" ref="K32:K42">J32/B32*100</f>
        <v>0.3549705295443066</v>
      </c>
      <c r="L32" s="2">
        <f aca="true" t="shared" si="13" ref="L32:L42">H32-J32</f>
        <v>0</v>
      </c>
      <c r="M32" s="12">
        <f aca="true" t="shared" si="14" ref="M32:M42">L32/B32*100</f>
        <v>0</v>
      </c>
      <c r="N32" s="23">
        <v>3.36824</v>
      </c>
      <c r="O32" s="23">
        <v>2.70636</v>
      </c>
      <c r="P32" s="13">
        <f>ROUND(J32*N32,2)</f>
        <v>39341.04</v>
      </c>
      <c r="Q32" s="13">
        <f>ROUND(L32*O32,2)</f>
        <v>0</v>
      </c>
      <c r="R32" s="3">
        <f aca="true" t="shared" si="15" ref="R32:R42">P32+Q32</f>
        <v>39341.04</v>
      </c>
      <c r="S32" s="14">
        <f aca="true" t="shared" si="16" ref="S32:S38">R32*1.2</f>
        <v>47209.248</v>
      </c>
      <c r="T32" s="33"/>
    </row>
    <row r="33" spans="1:20" ht="15">
      <c r="A33" s="1" t="s">
        <v>3</v>
      </c>
      <c r="B33" s="2">
        <v>3471286</v>
      </c>
      <c r="C33" s="2"/>
      <c r="D33" s="2">
        <v>3458969</v>
      </c>
      <c r="E33" s="2">
        <v>12317</v>
      </c>
      <c r="F33" s="2">
        <v>0</v>
      </c>
      <c r="G33" s="2">
        <v>0</v>
      </c>
      <c r="H33" s="2">
        <f t="shared" si="10"/>
        <v>12317</v>
      </c>
      <c r="I33" s="10">
        <f t="shared" si="11"/>
        <v>0.35482527224780674</v>
      </c>
      <c r="J33" s="25">
        <v>11900</v>
      </c>
      <c r="K33" s="12">
        <f t="shared" si="12"/>
        <v>0.3428124332019891</v>
      </c>
      <c r="L33" s="2">
        <f t="shared" si="13"/>
        <v>417</v>
      </c>
      <c r="M33" s="12">
        <f t="shared" si="14"/>
        <v>0.012012839045817602</v>
      </c>
      <c r="N33" s="23">
        <v>3.09291</v>
      </c>
      <c r="O33" s="23">
        <v>2.43103</v>
      </c>
      <c r="P33" s="13">
        <f>ROUND(J33*N33,2)</f>
        <v>36805.63</v>
      </c>
      <c r="Q33" s="13">
        <f>ROUND(L33*O33,2)</f>
        <v>1013.74</v>
      </c>
      <c r="R33" s="3">
        <f t="shared" si="15"/>
        <v>37819.369999999995</v>
      </c>
      <c r="S33" s="14">
        <f t="shared" si="16"/>
        <v>45383.24399999999</v>
      </c>
      <c r="T33" s="33"/>
    </row>
    <row r="34" spans="1:20" ht="15" customHeight="1">
      <c r="A34" s="1" t="s">
        <v>4</v>
      </c>
      <c r="B34" s="2">
        <v>2894370</v>
      </c>
      <c r="C34" s="2"/>
      <c r="D34" s="2">
        <v>2884109</v>
      </c>
      <c r="E34" s="2">
        <v>10261</v>
      </c>
      <c r="F34" s="2">
        <v>0</v>
      </c>
      <c r="G34" s="2">
        <v>0</v>
      </c>
      <c r="H34" s="2">
        <f t="shared" si="10"/>
        <v>10261</v>
      </c>
      <c r="I34" s="10">
        <f t="shared" si="11"/>
        <v>0.35451583591593333</v>
      </c>
      <c r="J34" s="25">
        <v>10261</v>
      </c>
      <c r="K34" s="12">
        <f t="shared" si="12"/>
        <v>0.35451583591593333</v>
      </c>
      <c r="L34" s="2">
        <f t="shared" si="13"/>
        <v>0</v>
      </c>
      <c r="M34" s="12">
        <f t="shared" si="14"/>
        <v>0</v>
      </c>
      <c r="N34" s="23">
        <v>3.04442</v>
      </c>
      <c r="O34" s="23">
        <v>2.38254</v>
      </c>
      <c r="P34" s="13">
        <f aca="true" t="shared" si="17" ref="P34:P42">ROUND(J34*N34,2)</f>
        <v>31238.79</v>
      </c>
      <c r="Q34" s="13">
        <f aca="true" t="shared" si="18" ref="Q34:Q42">ROUND(L34*O34,2)</f>
        <v>0</v>
      </c>
      <c r="R34" s="3">
        <f t="shared" si="15"/>
        <v>31238.79</v>
      </c>
      <c r="S34" s="14">
        <f t="shared" si="16"/>
        <v>37486.548</v>
      </c>
      <c r="T34" s="33"/>
    </row>
    <row r="35" spans="1:20" ht="15">
      <c r="A35" s="1" t="s">
        <v>5</v>
      </c>
      <c r="B35" s="2">
        <v>1193691</v>
      </c>
      <c r="C35" s="2"/>
      <c r="D35" s="2">
        <v>1184275</v>
      </c>
      <c r="E35" s="2">
        <v>9416</v>
      </c>
      <c r="F35" s="2">
        <v>0</v>
      </c>
      <c r="G35" s="2">
        <v>0</v>
      </c>
      <c r="H35" s="2">
        <f t="shared" si="10"/>
        <v>9416</v>
      </c>
      <c r="I35" s="10">
        <f t="shared" si="11"/>
        <v>0.7888138555120211</v>
      </c>
      <c r="J35" s="25">
        <v>9416</v>
      </c>
      <c r="K35" s="12">
        <f t="shared" si="12"/>
        <v>0.7888138555120211</v>
      </c>
      <c r="L35" s="2">
        <f t="shared" si="13"/>
        <v>0</v>
      </c>
      <c r="M35" s="12">
        <f t="shared" si="14"/>
        <v>0</v>
      </c>
      <c r="N35" s="23">
        <v>2.96632</v>
      </c>
      <c r="O35" s="23">
        <v>2.30444</v>
      </c>
      <c r="P35" s="13">
        <f t="shared" si="17"/>
        <v>27930.87</v>
      </c>
      <c r="Q35" s="13">
        <f t="shared" si="18"/>
        <v>0</v>
      </c>
      <c r="R35" s="3">
        <f t="shared" si="15"/>
        <v>27930.87</v>
      </c>
      <c r="S35" s="14">
        <f t="shared" si="16"/>
        <v>33517.043999999994</v>
      </c>
      <c r="T35" s="33"/>
    </row>
    <row r="36" spans="1:20" ht="15">
      <c r="A36" s="1" t="s">
        <v>6</v>
      </c>
      <c r="B36" s="2">
        <v>2910637</v>
      </c>
      <c r="C36" s="2"/>
      <c r="D36" s="2">
        <v>2900292</v>
      </c>
      <c r="E36" s="2">
        <v>10345</v>
      </c>
      <c r="F36" s="2">
        <v>0</v>
      </c>
      <c r="G36" s="2">
        <v>0</v>
      </c>
      <c r="H36" s="2">
        <f t="shared" si="10"/>
        <v>10345</v>
      </c>
      <c r="I36" s="10">
        <f t="shared" si="11"/>
        <v>0.35542048012170535</v>
      </c>
      <c r="J36" s="25">
        <v>10345</v>
      </c>
      <c r="K36" s="12">
        <f t="shared" si="12"/>
        <v>0.35542048012170535</v>
      </c>
      <c r="L36" s="2">
        <f t="shared" si="13"/>
        <v>0</v>
      </c>
      <c r="M36" s="12">
        <f t="shared" si="14"/>
        <v>0</v>
      </c>
      <c r="N36" s="23">
        <v>3.19652</v>
      </c>
      <c r="O36" s="23">
        <v>2.53464</v>
      </c>
      <c r="P36" s="13">
        <f t="shared" si="17"/>
        <v>33068</v>
      </c>
      <c r="Q36" s="13">
        <f t="shared" si="18"/>
        <v>0</v>
      </c>
      <c r="R36" s="3">
        <f t="shared" si="15"/>
        <v>33068</v>
      </c>
      <c r="S36" s="14">
        <f t="shared" si="16"/>
        <v>39681.6</v>
      </c>
      <c r="T36" s="33"/>
    </row>
    <row r="37" spans="1:22" ht="15">
      <c r="A37" s="1" t="s">
        <v>7</v>
      </c>
      <c r="B37" s="2">
        <v>2509588</v>
      </c>
      <c r="C37" s="2"/>
      <c r="D37" s="2">
        <f>2392097+108580</f>
        <v>2500677</v>
      </c>
      <c r="E37" s="2">
        <v>8911</v>
      </c>
      <c r="F37" s="2">
        <v>0</v>
      </c>
      <c r="G37" s="2">
        <v>0</v>
      </c>
      <c r="H37" s="2">
        <f t="shared" si="10"/>
        <v>8911</v>
      </c>
      <c r="I37" s="10">
        <f t="shared" si="11"/>
        <v>0.35507820407174406</v>
      </c>
      <c r="J37" s="25">
        <v>8911</v>
      </c>
      <c r="K37" s="12">
        <f t="shared" si="12"/>
        <v>0.35507820407174406</v>
      </c>
      <c r="L37" s="2">
        <f t="shared" si="13"/>
        <v>0</v>
      </c>
      <c r="M37" s="12">
        <f t="shared" si="14"/>
        <v>0</v>
      </c>
      <c r="N37" s="23">
        <v>2.98837</v>
      </c>
      <c r="O37" s="23">
        <v>2.32649</v>
      </c>
      <c r="P37" s="13">
        <f t="shared" si="17"/>
        <v>26629.37</v>
      </c>
      <c r="Q37" s="13">
        <f t="shared" si="18"/>
        <v>0</v>
      </c>
      <c r="R37" s="3">
        <f t="shared" si="15"/>
        <v>26629.37</v>
      </c>
      <c r="S37" s="14">
        <f t="shared" si="16"/>
        <v>31955.244</v>
      </c>
      <c r="T37" s="33"/>
      <c r="V37" s="15"/>
    </row>
    <row r="38" spans="1:20" ht="15" customHeight="1">
      <c r="A38" s="1" t="s">
        <v>8</v>
      </c>
      <c r="B38" s="2">
        <v>2412014</v>
      </c>
      <c r="C38" s="2"/>
      <c r="D38" s="2">
        <f>2298102+105348</f>
        <v>2403450</v>
      </c>
      <c r="E38" s="2">
        <v>8564</v>
      </c>
      <c r="F38" s="2">
        <v>0</v>
      </c>
      <c r="G38" s="2">
        <v>0</v>
      </c>
      <c r="H38" s="2">
        <f t="shared" si="10"/>
        <v>8564</v>
      </c>
      <c r="I38" s="10">
        <f t="shared" si="11"/>
        <v>0.3550559822621262</v>
      </c>
      <c r="J38" s="25">
        <v>8564</v>
      </c>
      <c r="K38" s="12">
        <f t="shared" si="12"/>
        <v>0.3550559822621262</v>
      </c>
      <c r="L38" s="2">
        <f t="shared" si="13"/>
        <v>0</v>
      </c>
      <c r="M38" s="12">
        <f t="shared" si="14"/>
        <v>0</v>
      </c>
      <c r="N38" s="23">
        <v>2.67383</v>
      </c>
      <c r="O38" s="23">
        <v>2.01195</v>
      </c>
      <c r="P38" s="13">
        <f t="shared" si="17"/>
        <v>22898.68</v>
      </c>
      <c r="Q38" s="13">
        <f t="shared" si="18"/>
        <v>0</v>
      </c>
      <c r="R38" s="3">
        <f t="shared" si="15"/>
        <v>22898.68</v>
      </c>
      <c r="S38" s="14">
        <f t="shared" si="16"/>
        <v>27478.416</v>
      </c>
      <c r="T38" s="33"/>
    </row>
    <row r="39" spans="1:20" ht="15">
      <c r="A39" s="1" t="s">
        <v>9</v>
      </c>
      <c r="B39" s="2">
        <v>2955560</v>
      </c>
      <c r="C39" s="2"/>
      <c r="D39" s="2">
        <f>2820742+124321</f>
        <v>2945063</v>
      </c>
      <c r="E39" s="2">
        <v>10497</v>
      </c>
      <c r="F39" s="2">
        <v>0</v>
      </c>
      <c r="G39" s="2">
        <v>0</v>
      </c>
      <c r="H39" s="2">
        <f t="shared" si="10"/>
        <v>10497</v>
      </c>
      <c r="I39" s="10">
        <f t="shared" si="11"/>
        <v>0.3551611200584661</v>
      </c>
      <c r="J39" s="25">
        <v>10497</v>
      </c>
      <c r="K39" s="12">
        <f t="shared" si="12"/>
        <v>0.3551611200584661</v>
      </c>
      <c r="L39" s="2">
        <f t="shared" si="13"/>
        <v>0</v>
      </c>
      <c r="M39" s="12">
        <f t="shared" si="14"/>
        <v>0</v>
      </c>
      <c r="N39" s="23">
        <v>3.06225</v>
      </c>
      <c r="O39" s="23">
        <v>2.40037</v>
      </c>
      <c r="P39" s="13">
        <f t="shared" si="17"/>
        <v>32144.44</v>
      </c>
      <c r="Q39" s="13">
        <f t="shared" si="18"/>
        <v>0</v>
      </c>
      <c r="R39" s="3">
        <f t="shared" si="15"/>
        <v>32144.44</v>
      </c>
      <c r="S39" s="14">
        <f>R39*1.2</f>
        <v>38573.327999999994</v>
      </c>
      <c r="T39" s="33"/>
    </row>
    <row r="40" spans="1:20" ht="15">
      <c r="A40" s="1" t="s">
        <v>10</v>
      </c>
      <c r="B40" s="2">
        <v>3130362</v>
      </c>
      <c r="C40" s="2"/>
      <c r="D40" s="2">
        <v>3119263</v>
      </c>
      <c r="E40" s="2">
        <v>11099</v>
      </c>
      <c r="F40" s="2">
        <v>0</v>
      </c>
      <c r="G40" s="2">
        <v>0</v>
      </c>
      <c r="H40" s="2">
        <f t="shared" si="10"/>
        <v>11099</v>
      </c>
      <c r="I40" s="10">
        <f t="shared" si="11"/>
        <v>0.3545596324003422</v>
      </c>
      <c r="J40" s="25">
        <v>11099</v>
      </c>
      <c r="K40" s="12">
        <f t="shared" si="12"/>
        <v>0.3545596324003422</v>
      </c>
      <c r="L40" s="2">
        <f t="shared" si="13"/>
        <v>0</v>
      </c>
      <c r="M40" s="12">
        <f t="shared" si="14"/>
        <v>0</v>
      </c>
      <c r="N40" s="23">
        <v>2.80348</v>
      </c>
      <c r="O40" s="23">
        <v>2.1416</v>
      </c>
      <c r="P40" s="13">
        <f t="shared" si="17"/>
        <v>31115.82</v>
      </c>
      <c r="Q40" s="13">
        <f t="shared" si="18"/>
        <v>0</v>
      </c>
      <c r="R40" s="3">
        <f t="shared" si="15"/>
        <v>31115.82</v>
      </c>
      <c r="S40" s="14">
        <f>R40*1.2</f>
        <v>37338.984</v>
      </c>
      <c r="T40" s="33"/>
    </row>
    <row r="41" spans="1:20" ht="15">
      <c r="A41" s="1" t="s">
        <v>11</v>
      </c>
      <c r="B41" s="2">
        <v>3477503</v>
      </c>
      <c r="C41" s="2"/>
      <c r="D41" s="2">
        <v>3465170</v>
      </c>
      <c r="E41" s="2">
        <v>12333</v>
      </c>
      <c r="F41" s="2">
        <v>0</v>
      </c>
      <c r="G41" s="2">
        <v>0</v>
      </c>
      <c r="H41" s="2">
        <f t="shared" si="10"/>
        <v>12333</v>
      </c>
      <c r="I41" s="10">
        <f t="shared" si="11"/>
        <v>0.35465102402499726</v>
      </c>
      <c r="J41" s="25">
        <v>11500</v>
      </c>
      <c r="K41" s="12">
        <f t="shared" si="12"/>
        <v>0.3306970547545178</v>
      </c>
      <c r="L41" s="2">
        <f t="shared" si="13"/>
        <v>833</v>
      </c>
      <c r="M41" s="12">
        <f t="shared" si="14"/>
        <v>0.023953969270479422</v>
      </c>
      <c r="N41" s="23">
        <v>3.03859</v>
      </c>
      <c r="O41" s="23">
        <v>2.37671</v>
      </c>
      <c r="P41" s="13">
        <f t="shared" si="17"/>
        <v>34943.79</v>
      </c>
      <c r="Q41" s="13">
        <f t="shared" si="18"/>
        <v>1979.8</v>
      </c>
      <c r="R41" s="3">
        <f t="shared" si="15"/>
        <v>36923.590000000004</v>
      </c>
      <c r="S41" s="14">
        <f>CEILING(R41*1.2,0.01)</f>
        <v>44308.31</v>
      </c>
      <c r="T41" s="33"/>
    </row>
    <row r="42" spans="1:20" ht="15" customHeight="1">
      <c r="A42" s="1" t="s">
        <v>12</v>
      </c>
      <c r="B42" s="2">
        <v>3854465</v>
      </c>
      <c r="C42" s="2"/>
      <c r="D42" s="2">
        <v>3840797</v>
      </c>
      <c r="E42" s="2">
        <v>13668</v>
      </c>
      <c r="F42" s="2">
        <v>0</v>
      </c>
      <c r="G42" s="2">
        <v>0</v>
      </c>
      <c r="H42" s="2">
        <f t="shared" si="10"/>
        <v>13668</v>
      </c>
      <c r="I42" s="10">
        <f t="shared" si="11"/>
        <v>0.35460174109766207</v>
      </c>
      <c r="J42" s="25">
        <v>11600</v>
      </c>
      <c r="K42" s="12">
        <f t="shared" si="12"/>
        <v>0.30094967784115306</v>
      </c>
      <c r="L42" s="2">
        <f t="shared" si="13"/>
        <v>2068</v>
      </c>
      <c r="M42" s="12">
        <f t="shared" si="14"/>
        <v>0.05365206325650901</v>
      </c>
      <c r="N42" s="23">
        <v>2.84086</v>
      </c>
      <c r="O42" s="23">
        <v>2.17898</v>
      </c>
      <c r="P42" s="13">
        <f t="shared" si="17"/>
        <v>32953.98</v>
      </c>
      <c r="Q42" s="13">
        <f t="shared" si="18"/>
        <v>4506.13</v>
      </c>
      <c r="R42" s="3">
        <f t="shared" si="15"/>
        <v>37460.11</v>
      </c>
      <c r="S42" s="14">
        <f>ROUNDUP(R42*1.2,2)</f>
        <v>44952.14</v>
      </c>
      <c r="T42" s="34"/>
    </row>
    <row r="43" spans="1:20" ht="20.25" customHeight="1">
      <c r="A43" s="4" t="s">
        <v>16</v>
      </c>
      <c r="B43" s="5">
        <f aca="true" t="shared" si="19" ref="B43:H43">SUM(B31:B42)</f>
        <v>35803315</v>
      </c>
      <c r="C43" s="5">
        <f t="shared" si="19"/>
        <v>0</v>
      </c>
      <c r="D43" s="5">
        <f t="shared" si="19"/>
        <v>35671082</v>
      </c>
      <c r="E43" s="5">
        <f t="shared" si="19"/>
        <v>131291</v>
      </c>
      <c r="F43" s="5">
        <f t="shared" si="19"/>
        <v>0</v>
      </c>
      <c r="G43" s="5">
        <f t="shared" si="19"/>
        <v>0</v>
      </c>
      <c r="H43" s="5">
        <f t="shared" si="19"/>
        <v>132233</v>
      </c>
      <c r="I43" s="11">
        <f>H43/B43*100</f>
        <v>0.3693317224955287</v>
      </c>
      <c r="J43" s="5">
        <f>SUM(J31:J42)</f>
        <v>127973</v>
      </c>
      <c r="K43" s="8">
        <f>J43/B43*100</f>
        <v>0.3574333829144033</v>
      </c>
      <c r="L43" s="5">
        <f>SUM(L31:L42)</f>
        <v>4260</v>
      </c>
      <c r="M43" s="8">
        <f>L43/B43*100</f>
        <v>0.01189833958112538</v>
      </c>
      <c r="N43" s="24">
        <f>P43/J43</f>
        <v>3.0123320544177283</v>
      </c>
      <c r="O43" s="24">
        <f>Q43/L43</f>
        <v>2.2743661971830984</v>
      </c>
      <c r="P43" s="16">
        <f>SUM(P31:P42)</f>
        <v>385497.1699999999</v>
      </c>
      <c r="Q43" s="16">
        <f>SUM(Q31:Q42)</f>
        <v>9688.8</v>
      </c>
      <c r="R43" s="16">
        <f>SUM(R31:R42)</f>
        <v>395185.97</v>
      </c>
      <c r="S43" s="16">
        <f>SUM(S31:S42)</f>
        <v>474223.174</v>
      </c>
      <c r="T43" s="16"/>
    </row>
    <row r="44" ht="15">
      <c r="R44" s="29">
        <f>R43/H43</f>
        <v>2.9885578486459505</v>
      </c>
    </row>
    <row r="45" ht="15">
      <c r="N45" s="15">
        <f>P23+P43</f>
        <v>40199324.39000001</v>
      </c>
    </row>
    <row r="46" ht="15">
      <c r="N46">
        <f>N45/(J23+J43)</f>
        <v>3.1360098136913632</v>
      </c>
    </row>
    <row r="47" spans="12:18" ht="15">
      <c r="L47" s="30">
        <f>(R23+R43)/(H23+H43)</f>
        <v>3.0628771677856834</v>
      </c>
      <c r="N47">
        <f>(P43-P39+P23-P19)/(J23-J19+J43-J39)</f>
        <v>3.1308872270070434</v>
      </c>
      <c r="R47" s="15"/>
    </row>
  </sheetData>
  <sheetProtection/>
  <mergeCells count="47"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  <mergeCell ref="B6:B8"/>
    <mergeCell ref="C6:C8"/>
    <mergeCell ref="D6:D8"/>
    <mergeCell ref="H6:H8"/>
    <mergeCell ref="I6:I8"/>
    <mergeCell ref="J7:K7"/>
    <mergeCell ref="E7:G7"/>
    <mergeCell ref="Q7:Q8"/>
    <mergeCell ref="R7:R8"/>
    <mergeCell ref="S5:S8"/>
    <mergeCell ref="E6:G6"/>
    <mergeCell ref="T11:T22"/>
    <mergeCell ref="T5:T8"/>
    <mergeCell ref="L7:M7"/>
    <mergeCell ref="N7:N8"/>
    <mergeCell ref="A25:A28"/>
    <mergeCell ref="B25:M25"/>
    <mergeCell ref="N25:O26"/>
    <mergeCell ref="P25:R26"/>
    <mergeCell ref="S25:S28"/>
    <mergeCell ref="T25:T28"/>
    <mergeCell ref="B26:B28"/>
    <mergeCell ref="C26:C28"/>
    <mergeCell ref="D26:D28"/>
    <mergeCell ref="E26:G26"/>
    <mergeCell ref="H26:H28"/>
    <mergeCell ref="I26:I28"/>
    <mergeCell ref="J26:M26"/>
    <mergeCell ref="E27:G27"/>
    <mergeCell ref="J27:K27"/>
    <mergeCell ref="L27:M27"/>
    <mergeCell ref="N27:N28"/>
    <mergeCell ref="O27:O28"/>
    <mergeCell ref="P27:P28"/>
    <mergeCell ref="Q27:Q28"/>
    <mergeCell ref="R27:R28"/>
    <mergeCell ref="T31:T42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2021-12-03T08:49:09Z</cp:lastPrinted>
  <dcterms:created xsi:type="dcterms:W3CDTF">2009-03-31T06:53:37Z</dcterms:created>
  <dcterms:modified xsi:type="dcterms:W3CDTF">2024-01-15T11:16:37Z</dcterms:modified>
  <cp:category/>
  <cp:version/>
  <cp:contentType/>
  <cp:contentStatus/>
</cp:coreProperties>
</file>