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23 год Приказ 1831-э" sheetId="12" r:id="rId1"/>
    <sheet name="2022 год Приказ 1831-э (2022)" sheetId="13" r:id="rId2"/>
    <sheet name="2021 год Приказ 1831-э (2021)" sheetId="11" r:id="rId3"/>
    <sheet name="2020 год Приказ 1831-э   " sheetId="9" r:id="rId4"/>
    <sheet name="2019 год Приказ 1831-э " sheetId="10" r:id="rId5"/>
    <sheet name="2018 год Приказ 1831-э  " sheetId="8" r:id="rId6"/>
  </sheets>
  <definedNames>
    <definedName name="A1\" localSheetId="5">'2018 год Приказ 1831-э  '!$A$644</definedName>
    <definedName name="A1\" localSheetId="4">'2019 год Приказ 1831-э '!$A$644</definedName>
    <definedName name="A1\" localSheetId="3">'2020 год Приказ 1831-э   '!$A$644</definedName>
    <definedName name="A1\" localSheetId="2">'2021 год Приказ 1831-э (2021)'!$A$645</definedName>
    <definedName name="A1\" localSheetId="1">'2022 год Приказ 1831-э (2022)'!$A$646</definedName>
    <definedName name="A1\" localSheetId="0">'2023 год Приказ 1831-э'!$A$648</definedName>
    <definedName name="A1\">#REF!</definedName>
    <definedName name="O" localSheetId="4">'2019 год Приказ 1831-э '!$OZO$16</definedName>
    <definedName name="O" localSheetId="3">'2020 год Приказ 1831-э   '!$OZO$16</definedName>
    <definedName name="O" localSheetId="2">'2021 год Приказ 1831-э (2021)'!$OZN$16</definedName>
    <definedName name="O" localSheetId="1">'2022 год Приказ 1831-э (2022)'!$OZN$16</definedName>
    <definedName name="O" localSheetId="0">'2023 год Приказ 1831-э'!$OZN$16</definedName>
    <definedName name="O">'2018 год Приказ 1831-э  '!$OZO$16</definedName>
    <definedName name="А1" localSheetId="5">'2018 год Приказ 1831-э  '!$PAH$713</definedName>
    <definedName name="А1" localSheetId="4">'2019 год Приказ 1831-э '!$PAH$713</definedName>
    <definedName name="А1" localSheetId="3">'2020 год Приказ 1831-э   '!$PAH$713</definedName>
    <definedName name="А1" localSheetId="2">'2021 год Приказ 1831-э (2021)'!$PAG$714</definedName>
    <definedName name="А1" localSheetId="1">'2022 год Приказ 1831-э (2022)'!$PAG$715</definedName>
    <definedName name="А1" localSheetId="0">'2023 год Приказ 1831-э'!$PAG$717</definedName>
    <definedName name="А1">#REF!</definedName>
    <definedName name="_xlnm.Print_Area" localSheetId="5">'2018 год Приказ 1831-э  '!$A$1:$F$85</definedName>
    <definedName name="_xlnm.Print_Area" localSheetId="4">'2019 год Приказ 1831-э '!$A$1:$F$85</definedName>
    <definedName name="_xlnm.Print_Area" localSheetId="3">'2020 год Приказ 1831-э   '!$A$1:$F$85</definedName>
    <definedName name="_xlnm.Print_Area" localSheetId="2">'2021 год Приказ 1831-э (2021)'!$A$1:$E$86</definedName>
    <definedName name="_xlnm.Print_Area" localSheetId="1">'2022 год Приказ 1831-э (2022)'!$A$1:$E$87</definedName>
    <definedName name="_xlnm.Print_Area" localSheetId="0">'2023 год Приказ 1831-э'!$A$1:$E$89</definedName>
  </definedNames>
  <calcPr calcId="145621"/>
</workbook>
</file>

<file path=xl/calcChain.xml><?xml version="1.0" encoding="utf-8"?>
<calcChain xmlns="http://schemas.openxmlformats.org/spreadsheetml/2006/main">
  <c r="E27" i="12" l="1"/>
  <c r="D39" i="12"/>
  <c r="E29" i="12"/>
  <c r="E20" i="12"/>
  <c r="E70" i="12" l="1"/>
  <c r="D24" i="12" l="1"/>
  <c r="D13" i="12"/>
  <c r="D12" i="12" s="1"/>
  <c r="D27" i="12"/>
  <c r="D29" i="12"/>
  <c r="D20" i="12"/>
  <c r="D76" i="13"/>
  <c r="D75" i="13"/>
  <c r="D73" i="13" s="1"/>
  <c r="D77" i="13" s="1"/>
  <c r="E73" i="13"/>
  <c r="E77" i="13" s="1"/>
  <c r="E69" i="13"/>
  <c r="D69" i="13"/>
  <c r="E65" i="13"/>
  <c r="D65" i="13"/>
  <c r="E64" i="13"/>
  <c r="D64" i="13"/>
  <c r="E58" i="13"/>
  <c r="D58" i="13"/>
  <c r="E54" i="13"/>
  <c r="D54" i="13"/>
  <c r="E37" i="13"/>
  <c r="D37" i="13"/>
  <c r="E29" i="13"/>
  <c r="D29" i="13"/>
  <c r="D27" i="13" s="1"/>
  <c r="D24" i="13" s="1"/>
  <c r="E28" i="13"/>
  <c r="E27" i="13"/>
  <c r="E24" i="13"/>
  <c r="E13" i="13" s="1"/>
  <c r="E12" i="13" s="1"/>
  <c r="E20" i="13"/>
  <c r="E19" i="13"/>
  <c r="D19" i="13"/>
  <c r="E14" i="13"/>
  <c r="D14" i="13"/>
  <c r="D13" i="13" l="1"/>
  <c r="D12" i="13" s="1"/>
  <c r="E66" i="12"/>
  <c r="E39" i="12" l="1"/>
  <c r="E75" i="12" l="1"/>
  <c r="E79" i="12" s="1"/>
  <c r="D75" i="12"/>
  <c r="D79" i="12" s="1"/>
  <c r="E71" i="12"/>
  <c r="D71" i="12"/>
  <c r="D67" i="12"/>
  <c r="E67" i="12"/>
  <c r="D66" i="12"/>
  <c r="E60" i="12"/>
  <c r="D60" i="12"/>
  <c r="E56" i="12"/>
  <c r="D56" i="12"/>
  <c r="E24" i="12"/>
  <c r="E19" i="12"/>
  <c r="D19" i="12"/>
  <c r="E14" i="12"/>
  <c r="D14" i="12"/>
  <c r="E34" i="11"/>
  <c r="E77" i="11"/>
  <c r="E78" i="11"/>
  <c r="E13" i="12" l="1"/>
  <c r="E12" i="12"/>
  <c r="D67" i="11"/>
  <c r="D75" i="11"/>
  <c r="D66" i="11"/>
  <c r="D72" i="11" l="1"/>
  <c r="D76" i="11" s="1"/>
  <c r="D68" i="11"/>
  <c r="D64" i="11"/>
  <c r="E63" i="11"/>
  <c r="D63" i="11"/>
  <c r="D51" i="11" l="1"/>
  <c r="E48" i="11"/>
  <c r="E29" i="11"/>
  <c r="E27" i="11" s="1"/>
  <c r="E24" i="11" s="1"/>
  <c r="D29" i="11"/>
  <c r="D27" i="11" s="1"/>
  <c r="D24" i="11" s="1"/>
  <c r="E20" i="11"/>
  <c r="E19" i="11" s="1"/>
  <c r="D20" i="11"/>
  <c r="D19" i="11" s="1"/>
  <c r="E72" i="11"/>
  <c r="E76" i="11" s="1"/>
  <c r="E68" i="11"/>
  <c r="E64" i="11"/>
  <c r="E57" i="11"/>
  <c r="D57" i="11"/>
  <c r="E53" i="11"/>
  <c r="D53" i="11"/>
  <c r="E37" i="11"/>
  <c r="D37" i="11"/>
  <c r="E14" i="11"/>
  <c r="D14" i="11"/>
  <c r="E77" i="9"/>
  <c r="E76" i="9"/>
  <c r="E22" i="9"/>
  <c r="E47" i="9"/>
  <c r="E73" i="9"/>
  <c r="E71" i="9" s="1"/>
  <c r="E75" i="9" s="1"/>
  <c r="E34" i="9"/>
  <c r="E40" i="9"/>
  <c r="E29" i="9"/>
  <c r="E17" i="9"/>
  <c r="D13" i="11" l="1"/>
  <c r="D12" i="11" s="1"/>
  <c r="E13" i="11"/>
  <c r="E12" i="11" s="1"/>
  <c r="D71" i="9"/>
  <c r="D75" i="9" s="1"/>
  <c r="D74" i="9"/>
  <c r="D66" i="9"/>
  <c r="D65" i="9" l="1"/>
  <c r="D64" i="9"/>
  <c r="D62" i="9" l="1"/>
  <c r="E48" i="9" l="1"/>
  <c r="D48" i="9" l="1"/>
  <c r="D34" i="9" l="1"/>
  <c r="D29" i="9"/>
  <c r="E77" i="10"/>
  <c r="E76" i="10"/>
  <c r="E71" i="10"/>
  <c r="E75" i="10" s="1"/>
  <c r="D71" i="10"/>
  <c r="D75" i="10" s="1"/>
  <c r="E67" i="10"/>
  <c r="D67" i="10"/>
  <c r="E63" i="10"/>
  <c r="D63" i="10"/>
  <c r="E62" i="10"/>
  <c r="D62" i="10"/>
  <c r="E56" i="10"/>
  <c r="D56" i="10"/>
  <c r="E52" i="10"/>
  <c r="D52" i="10"/>
  <c r="E47" i="10"/>
  <c r="E40" i="10"/>
  <c r="E37" i="10" s="1"/>
  <c r="D37" i="10"/>
  <c r="E34" i="10"/>
  <c r="E29" i="10"/>
  <c r="D29" i="10"/>
  <c r="D27" i="10" s="1"/>
  <c r="D24" i="10" s="1"/>
  <c r="D13" i="10" s="1"/>
  <c r="E27" i="10"/>
  <c r="E24" i="10" s="1"/>
  <c r="E26" i="10"/>
  <c r="E22" i="10"/>
  <c r="E19" i="10" s="1"/>
  <c r="D19" i="10"/>
  <c r="E17" i="10"/>
  <c r="E14" i="10" s="1"/>
  <c r="D14" i="10"/>
  <c r="D12" i="10" l="1"/>
  <c r="E13" i="10"/>
  <c r="E12" i="10" s="1"/>
  <c r="E67" i="9" l="1"/>
  <c r="D67" i="9"/>
  <c r="E63" i="9"/>
  <c r="D63" i="9"/>
  <c r="E62" i="9"/>
  <c r="E56" i="9"/>
  <c r="D56" i="9"/>
  <c r="D52" i="9"/>
  <c r="E37" i="9"/>
  <c r="D37" i="9"/>
  <c r="D27" i="9"/>
  <c r="D24" i="9" s="1"/>
  <c r="E27" i="9"/>
  <c r="E24" i="9" s="1"/>
  <c r="E19" i="9"/>
  <c r="D19" i="9"/>
  <c r="E52" i="9"/>
  <c r="E14" i="9"/>
  <c r="D14" i="9"/>
  <c r="D48" i="8"/>
  <c r="E13" i="9" l="1"/>
  <c r="E12" i="9" s="1"/>
  <c r="D13" i="9"/>
  <c r="D12" i="9" s="1"/>
  <c r="E34" i="8"/>
  <c r="E50" i="8"/>
  <c r="E15" i="8"/>
  <c r="E40" i="8"/>
  <c r="E29" i="8"/>
  <c r="E17" i="8"/>
  <c r="E30" i="8"/>
  <c r="E31" i="8"/>
  <c r="E32" i="8"/>
  <c r="E26" i="8"/>
  <c r="E33" i="8"/>
  <c r="E23" i="8"/>
  <c r="E22" i="8"/>
  <c r="E16" i="8"/>
  <c r="E76" i="8"/>
  <c r="E77" i="8"/>
  <c r="D29" i="8" l="1"/>
  <c r="D19" i="8"/>
  <c r="E71" i="8"/>
  <c r="E75" i="8" s="1"/>
  <c r="D71" i="8"/>
  <c r="D75" i="8" s="1"/>
  <c r="E67" i="8"/>
  <c r="D67" i="8"/>
  <c r="E63" i="8"/>
  <c r="D63" i="8"/>
  <c r="E62" i="8"/>
  <c r="D62" i="8"/>
  <c r="E56" i="8"/>
  <c r="D56" i="8"/>
  <c r="E52" i="8"/>
  <c r="D52" i="8"/>
  <c r="E37" i="8"/>
  <c r="D37" i="8"/>
  <c r="D27" i="8"/>
  <c r="D24" i="8" s="1"/>
  <c r="E27" i="8"/>
  <c r="E19" i="8"/>
  <c r="E14" i="8"/>
  <c r="D14" i="8"/>
  <c r="E24" i="8" l="1"/>
  <c r="E13" i="8" s="1"/>
  <c r="D13" i="8"/>
  <c r="D12" i="8" s="1"/>
  <c r="E12" i="8" l="1"/>
</calcChain>
</file>

<file path=xl/comments1.xml><?xml version="1.0" encoding="utf-8"?>
<comments xmlns="http://schemas.openxmlformats.org/spreadsheetml/2006/main">
  <authors>
    <author>Автор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 2446,334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D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итогам 2021 года</t>
        </r>
      </text>
    </comment>
    <comment ref="E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ЗА СЧЕТ ТЕХ.ПРИСОЕД.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 2446,334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D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итогам 2021 года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ЗА СЧЕТ ТЕХ.ПРИСОЕД.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 5452,375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искл. 2-х объектов ( ТП  ФГП РТРС и Фл Коширова   - отражены  2020 год)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ЗА СЧЕТ ТЕХ.ПРИСОЕД.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 в  т.ч. ТП  ФГП РТРС и Фл Коширова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Расходы  всего  стр-во  Ковдор  гаражи  1977 т.р.  и   и ЗГЭС  Мурманскавтодор   834  т. Р.  и  затраты  по сч. 20  Тех.прис. До 15 кВт
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87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Ввод объектов   Ковдор  гаражи  1977 т.р.  и   и ЗГЭС  Мурманскавтодор   834  т. р.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выполнение подрядным способом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выпадающих доходов  прдварительно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до 15 кВт 87 ( в т.ч. 1 стройка) + 1 стройка  до 150 кВт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79 ед( в  т.ч.  1  стройка) +  1 стр.-ка  до 150 кВт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объекты по инв. программе</t>
        </r>
      </text>
    </comment>
  </commentList>
</comments>
</file>

<file path=xl/sharedStrings.xml><?xml version="1.0" encoding="utf-8"?>
<sst xmlns="http://schemas.openxmlformats.org/spreadsheetml/2006/main" count="1273" uniqueCount="153">
  <si>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</si>
  <si>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</si>
  <si>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</si>
  <si>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</si>
  <si>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</si>
  <si>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</si>
  <si>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</si>
  <si>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</si>
  <si>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</si>
  <si>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</si>
  <si>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</si>
  <si>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</si>
  <si>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</si>
  <si>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</si>
  <si>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</si>
  <si>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</si>
  <si>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</si>
  <si>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</si>
  <si>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</si>
  <si>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</si>
  <si>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</si>
  <si>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</si>
  <si>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</si>
  <si>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</si>
  <si>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</si>
  <si>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</si>
  <si>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</si>
  <si>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</si>
  <si>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</si>
  <si>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</si>
  <si>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</si>
  <si>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</si>
  <si>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</si>
  <si>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</si>
  <si>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</si>
  <si>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</si>
  <si>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</si>
  <si>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</si>
  <si>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</si>
  <si>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</si>
  <si>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</si>
  <si>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</si>
  <si>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</si>
  <si>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</si>
  <si>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</si>
  <si>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</si>
  <si>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</si>
  <si>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</si>
  <si>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</si>
  <si>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</si>
  <si>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</si>
  <si>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</si>
  <si>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</si>
  <si>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</si>
  <si>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</si>
  <si>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</si>
  <si>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</si>
  <si>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</si>
  <si>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</si>
  <si>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</si>
  <si>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</si>
  <si>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</si>
  <si>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</si>
  <si>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</si>
  <si>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</si>
  <si>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</si>
  <si>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</si>
  <si>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</si>
  <si>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</si>
  <si>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</si>
  <si>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</si>
  <si>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</si>
  <si>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</si>
  <si>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</si>
  <si>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</si>
  <si>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</si>
  <si>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</si>
  <si>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</si>
  <si>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</si>
  <si>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</si>
  <si>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</si>
  <si>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</si>
  <si>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</si>
  <si>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</si>
  <si>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</si>
  <si>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</si>
  <si>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</si>
  <si>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</si>
  <si>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</si>
  <si>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</si>
  <si>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</si>
  <si>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</si>
  <si>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</si>
  <si>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</si>
  <si>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</si>
  <si>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</si>
  <si>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</si>
  <si>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</si>
  <si>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</si>
  <si>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</si>
  <si>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</si>
  <si>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</si>
  <si>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</si>
  <si>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</si>
  <si>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</si>
  <si>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</si>
  <si>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</si>
  <si>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</si>
  <si>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</si>
  <si>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</si>
  <si>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</si>
  <si>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</si>
  <si>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</si>
  <si>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</si>
  <si>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</si>
  <si>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</si>
  <si>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</si>
  <si>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</si>
  <si>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</si>
  <si>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</si>
  <si>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</si>
  <si>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</si>
  <si>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</si>
  <si>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</si>
  <si>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Утверждено КТР</t>
  </si>
  <si>
    <t>Общее количество точек подключения на конец года</t>
  </si>
  <si>
    <t>себестоимость</t>
  </si>
  <si>
    <t>соц.выплаты</t>
  </si>
  <si>
    <t>ИТОГО</t>
  </si>
  <si>
    <t>факт. прибыль7621,522</t>
  </si>
  <si>
    <t>2018 год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</si>
  <si>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2018 - 2022 гг</t>
    </r>
  </si>
  <si>
    <t>в том числе за счет платы за технологическое присоединение ( в  т.ч.   выпадающие доходы)</t>
  </si>
  <si>
    <t>2019 год</t>
  </si>
  <si>
    <t>Общее количество точек поставки на конец года</t>
  </si>
  <si>
    <t>в том числе за счет платы за технологическое присоединение  ( в том числе  выпадающие  доходы)</t>
  </si>
  <si>
    <t>2020 год</t>
  </si>
  <si>
    <t>*</t>
  </si>
  <si>
    <t>2021 год</t>
  </si>
  <si>
    <t>1.4.</t>
  </si>
  <si>
    <t>Расходы на выполнение обязанностей СО  по обеспечению коммерческого учета электрической энергии ( п.5 ст.37 ФЗ от 26.03.2003 № 35-ФЗ "Об электроэнергетике"</t>
  </si>
  <si>
    <t>в том числе за счет платы за технологическое присоединение  ( в том числе  выпадающие  доходы )</t>
  </si>
  <si>
    <t>519001001 / 785150001</t>
  </si>
  <si>
    <t>2022 год</t>
  </si>
  <si>
    <r>
      <t xml:space="preserve">Долгосрочный период регулирования  </t>
    </r>
    <r>
      <rPr>
        <b/>
        <sz val="14"/>
        <color rgb="FFC00000"/>
        <rFont val="Times New Roman"/>
        <family val="1"/>
        <charset val="204"/>
      </rPr>
      <t xml:space="preserve"> 2018 - 2022 гг</t>
    </r>
  </si>
  <si>
    <t>1.5.</t>
  </si>
  <si>
    <t>Выпадающие на последующие периоды регулирования</t>
  </si>
  <si>
    <r>
      <t xml:space="preserve">Долгосрочный период регулирования  </t>
    </r>
    <r>
      <rPr>
        <b/>
        <sz val="14"/>
        <color rgb="FFC00000"/>
        <rFont val="Times New Roman"/>
        <family val="1"/>
        <charset val="204"/>
      </rPr>
      <t xml:space="preserve"> 2023 - 2027 гг</t>
    </r>
  </si>
  <si>
    <t>2023 год</t>
  </si>
  <si>
    <t>1.1.3.3.8.</t>
  </si>
  <si>
    <t>1.1.3.3.9.</t>
  </si>
  <si>
    <t>Плата за аренду помещений</t>
  </si>
  <si>
    <t>Электроэнергия на 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</si>
</sst>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0" xfId="0" applyFont="1"/>
    <xf numFmtId="164" fontId="13" fillId="0" borderId="0" xfId="0" applyNumberFormat="1" applyFont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left"/>
    </xf>
    <xf numFmtId="164" fontId="18" fillId="2" borderId="0" xfId="0" applyNumberFormat="1" applyFont="1" applyFill="1" applyAlignment="1">
      <alignment vertical="center"/>
    </xf>
    <xf numFmtId="1" fontId="19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0" xfId="0" applyFont="1"/>
    <xf numFmtId="164" fontId="21" fillId="0" borderId="0" xfId="0" applyNumberFormat="1" applyFont="1"/>
    <xf numFmtId="0" fontId="16" fillId="0" borderId="0" xfId="0" applyFont="1"/>
    <xf numFmtId="164" fontId="22" fillId="0" borderId="0" xfId="0" applyNumberFormat="1" applyFont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164" fontId="23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4" fontId="2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2" fontId="3" fillId="2" borderId="1" xfId="0" applyNumberFormat="1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vertical="center" wrapText="1"/>
    </xf>
    <xf numFmtId="164" fontId="0" fillId="2" borderId="0" xfId="0" applyNumberFormat="1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1" fillId="2" borderId="1" xfId="0" applyNumberFormat="1" applyFont="1" applyFill="1" applyBorder="1" applyAlignment="1">
      <alignment vertical="center" wrapText="1"/>
    </xf>
    <xf numFmtId="164" fontId="30" fillId="2" borderId="1" xfId="0" applyNumberFormat="1" applyFont="1" applyFill="1" applyBorder="1" applyAlignment="1">
      <alignment vertical="center" wrapText="1"/>
    </xf>
    <xf numFmtId="164" fontId="32" fillId="2" borderId="1" xfId="0" applyNumberFormat="1" applyFont="1" applyFill="1" applyBorder="1" applyAlignment="1">
      <alignment vertical="center" wrapText="1"/>
    </xf>
    <xf numFmtId="164" fontId="3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4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EBF4"/>
      <color rgb="FFFBFFE5"/>
      <color rgb="FFF2FFE7"/>
      <color rgb="FFF3F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0"/>
  <sheetViews>
    <sheetView tabSelected="1" view="pageBreakPreview" zoomScale="76" zoomScaleSheetLayoutView="76" workbookViewId="0">
      <selection activeCell="E39" sqref="E39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5" width="16.7109375" customWidth="1"/>
    <col min="6" max="6" width="16.140625" hidden="1" customWidth="1"/>
    <col min="7" max="7" width="14.7109375" customWidth="1"/>
    <col min="8" max="8" width="14.5703125" customWidth="1"/>
    <col min="10" max="10" width="9.28515625" bestFit="1" customWidth="1"/>
  </cols>
  <sheetData>
    <row r="1" spans="1:10" ht="15.75" x14ac:dyDescent="0.25">
      <c r="A1" s="3"/>
      <c r="B1" s="3"/>
      <c r="C1" s="3" t="s">
        <v>77</v>
      </c>
      <c r="D1" s="3"/>
      <c r="E1" s="3"/>
      <c r="F1" s="3"/>
    </row>
    <row r="2" spans="1:10" ht="35.25" customHeight="1" x14ac:dyDescent="0.25">
      <c r="A2" s="3"/>
      <c r="B2" s="3"/>
      <c r="C2" s="145" t="s">
        <v>78</v>
      </c>
      <c r="D2" s="145"/>
      <c r="E2" s="145"/>
      <c r="F2" s="145"/>
    </row>
    <row r="3" spans="1:10" ht="69.75" customHeight="1" x14ac:dyDescent="0.25">
      <c r="A3" s="146" t="s">
        <v>79</v>
      </c>
      <c r="B3" s="146"/>
      <c r="C3" s="146"/>
      <c r="D3" s="146"/>
      <c r="E3" s="146"/>
      <c r="F3" s="146"/>
    </row>
    <row r="4" spans="1:10" ht="38.25" customHeight="1" x14ac:dyDescent="0.3">
      <c r="A4" s="6" t="s">
        <v>80</v>
      </c>
      <c r="B4" s="6"/>
      <c r="C4" s="7"/>
      <c r="D4" s="5"/>
      <c r="E4" s="5"/>
      <c r="F4" s="5"/>
    </row>
    <row r="5" spans="1:10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0" ht="19.5" customHeight="1" x14ac:dyDescent="0.3">
      <c r="A6" s="8" t="s">
        <v>82</v>
      </c>
      <c r="B6" s="8" t="s">
        <v>142</v>
      </c>
      <c r="C6" s="9"/>
      <c r="D6" s="4"/>
      <c r="E6" s="4"/>
      <c r="F6" s="4"/>
    </row>
    <row r="7" spans="1:10" ht="19.5" customHeight="1" x14ac:dyDescent="0.3">
      <c r="A7" s="8" t="s">
        <v>147</v>
      </c>
      <c r="B7" s="8"/>
      <c r="C7" s="9"/>
      <c r="D7" s="35"/>
      <c r="E7" s="4"/>
      <c r="F7" s="4"/>
    </row>
    <row r="8" spans="1:10" ht="15.75" x14ac:dyDescent="0.25">
      <c r="A8" s="3"/>
      <c r="B8" s="3"/>
      <c r="C8" s="3"/>
      <c r="D8" s="3"/>
      <c r="E8" s="3"/>
      <c r="F8" s="3"/>
    </row>
    <row r="9" spans="1:10" ht="15.75" x14ac:dyDescent="0.25">
      <c r="A9" s="147" t="s">
        <v>18</v>
      </c>
      <c r="B9" s="147" t="s">
        <v>0</v>
      </c>
      <c r="C9" s="147" t="s">
        <v>19</v>
      </c>
      <c r="D9" s="148" t="s">
        <v>148</v>
      </c>
      <c r="E9" s="149"/>
      <c r="F9" s="150" t="s">
        <v>1</v>
      </c>
    </row>
    <row r="10" spans="1:10" ht="42.75" customHeight="1" x14ac:dyDescent="0.25">
      <c r="A10" s="147"/>
      <c r="B10" s="147"/>
      <c r="C10" s="147"/>
      <c r="D10" s="117" t="s">
        <v>124</v>
      </c>
      <c r="E10" s="117" t="s">
        <v>84</v>
      </c>
      <c r="F10" s="151"/>
    </row>
    <row r="11" spans="1:10" ht="24.75" customHeight="1" x14ac:dyDescent="0.25">
      <c r="A11" s="121" t="s">
        <v>20</v>
      </c>
      <c r="B11" s="12" t="s">
        <v>21</v>
      </c>
      <c r="C11" s="121" t="s">
        <v>22</v>
      </c>
      <c r="D11" s="121" t="s">
        <v>22</v>
      </c>
      <c r="E11" s="121" t="s">
        <v>22</v>
      </c>
      <c r="F11" s="121" t="s">
        <v>22</v>
      </c>
      <c r="G11" s="53"/>
      <c r="H11" s="53"/>
    </row>
    <row r="12" spans="1:10" ht="30" customHeight="1" x14ac:dyDescent="0.25">
      <c r="A12" s="121">
        <v>1</v>
      </c>
      <c r="B12" s="13" t="s">
        <v>23</v>
      </c>
      <c r="C12" s="14" t="s">
        <v>24</v>
      </c>
      <c r="D12" s="24">
        <f>D13+D39+D53+D54+D55</f>
        <v>288833.00400000002</v>
      </c>
      <c r="E12" s="24">
        <f>E13+E39+E53+E54</f>
        <v>248775.24899999998</v>
      </c>
      <c r="F12" s="15"/>
      <c r="G12" s="63"/>
      <c r="H12" s="63"/>
      <c r="I12" s="60"/>
      <c r="J12" s="2"/>
    </row>
    <row r="13" spans="1:10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D14+D19+D24+D37+D38</f>
        <v>133529.00100000002</v>
      </c>
      <c r="E13" s="24">
        <f>E14+E19+E24+E37+E38</f>
        <v>125522.81499999999</v>
      </c>
      <c r="F13" s="15"/>
      <c r="G13" s="2"/>
      <c r="H13" s="61"/>
    </row>
    <row r="14" spans="1:10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5399.7710000000006</v>
      </c>
      <c r="E14" s="24">
        <f>E15+E17</f>
        <v>3264.0059999999999</v>
      </c>
      <c r="F14" s="15"/>
      <c r="G14" s="2"/>
      <c r="H14" s="2"/>
    </row>
    <row r="15" spans="1:10" ht="24.95" customHeight="1" x14ac:dyDescent="0.25">
      <c r="A15" s="121" t="s">
        <v>27</v>
      </c>
      <c r="B15" s="12" t="s">
        <v>28</v>
      </c>
      <c r="C15" s="121" t="s">
        <v>24</v>
      </c>
      <c r="D15" s="131">
        <v>4387.26</v>
      </c>
      <c r="E15" s="142">
        <v>2840.1019999999999</v>
      </c>
      <c r="F15" s="120"/>
      <c r="H15" s="2"/>
    </row>
    <row r="16" spans="1:10" ht="19.5" customHeight="1" x14ac:dyDescent="0.25">
      <c r="A16" s="121" t="s">
        <v>29</v>
      </c>
      <c r="B16" s="26" t="s">
        <v>33</v>
      </c>
      <c r="C16" s="121" t="s">
        <v>24</v>
      </c>
      <c r="D16" s="113"/>
      <c r="E16" s="113"/>
      <c r="F16" s="120"/>
      <c r="G16" s="2"/>
      <c r="H16" s="2"/>
      <c r="I16" s="2"/>
    </row>
    <row r="17" spans="1:8" ht="51" customHeight="1" x14ac:dyDescent="0.25">
      <c r="A17" s="121" t="s">
        <v>30</v>
      </c>
      <c r="B17" s="12" t="s">
        <v>31</v>
      </c>
      <c r="C17" s="121" t="s">
        <v>24</v>
      </c>
      <c r="D17" s="131">
        <v>1012.511</v>
      </c>
      <c r="E17" s="142">
        <v>423.904</v>
      </c>
      <c r="F17" s="120"/>
      <c r="H17" s="2"/>
    </row>
    <row r="18" spans="1:8" ht="24.95" customHeight="1" x14ac:dyDescent="0.25">
      <c r="A18" s="121" t="s">
        <v>32</v>
      </c>
      <c r="B18" s="26" t="s">
        <v>33</v>
      </c>
      <c r="C18" s="121" t="s">
        <v>24</v>
      </c>
      <c r="D18" s="113"/>
      <c r="E18" s="113"/>
      <c r="F18" s="120"/>
      <c r="H18" s="2"/>
    </row>
    <row r="19" spans="1:8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103386.954</v>
      </c>
      <c r="E19" s="24">
        <f>E20+E21+E22</f>
        <v>105712.06</v>
      </c>
      <c r="F19" s="15"/>
      <c r="G19" s="62"/>
      <c r="H19" s="62"/>
    </row>
    <row r="20" spans="1:8" ht="24.95" customHeight="1" outlineLevel="1" x14ac:dyDescent="0.25">
      <c r="A20" s="29"/>
      <c r="B20" s="30" t="s">
        <v>119</v>
      </c>
      <c r="C20" s="31" t="s">
        <v>24</v>
      </c>
      <c r="D20" s="32">
        <f>103386.954-D21</f>
        <v>102399.16523345291</v>
      </c>
      <c r="E20" s="32">
        <f>105712.06-E21-E22</f>
        <v>103870.329</v>
      </c>
      <c r="F20" s="33"/>
    </row>
    <row r="21" spans="1:8" ht="24.95" customHeight="1" outlineLevel="1" x14ac:dyDescent="0.25">
      <c r="A21" s="29"/>
      <c r="B21" s="30" t="s">
        <v>120</v>
      </c>
      <c r="C21" s="31" t="s">
        <v>24</v>
      </c>
      <c r="D21" s="32">
        <v>987.78876654708461</v>
      </c>
      <c r="E21" s="32">
        <v>1197.672</v>
      </c>
      <c r="F21" s="34"/>
    </row>
    <row r="22" spans="1:8" ht="24.95" customHeight="1" outlineLevel="1" x14ac:dyDescent="0.25">
      <c r="A22" s="29"/>
      <c r="B22" s="30" t="s">
        <v>121</v>
      </c>
      <c r="C22" s="31" t="s">
        <v>24</v>
      </c>
      <c r="D22" s="138"/>
      <c r="E22" s="32">
        <v>644.05899999999997</v>
      </c>
      <c r="F22" s="34"/>
    </row>
    <row r="23" spans="1:8" ht="24.95" customHeight="1" x14ac:dyDescent="0.25">
      <c r="A23" s="122" t="s">
        <v>34</v>
      </c>
      <c r="B23" s="26" t="s">
        <v>33</v>
      </c>
      <c r="C23" s="121" t="s">
        <v>24</v>
      </c>
      <c r="D23" s="118"/>
      <c r="E23" s="118"/>
      <c r="F23" s="120"/>
    </row>
    <row r="24" spans="1:8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24742.276000000002</v>
      </c>
      <c r="E24" s="24">
        <f>E25+E26+E27</f>
        <v>16546.749</v>
      </c>
      <c r="F24" s="120"/>
    </row>
    <row r="25" spans="1:8" ht="34.5" customHeight="1" x14ac:dyDescent="0.25">
      <c r="A25" s="122" t="s">
        <v>36</v>
      </c>
      <c r="B25" s="12" t="s">
        <v>37</v>
      </c>
      <c r="C25" s="121" t="s">
        <v>24</v>
      </c>
      <c r="D25" s="131">
        <v>203.279</v>
      </c>
      <c r="E25" s="142">
        <v>206.13300000000001</v>
      </c>
      <c r="F25" s="120"/>
    </row>
    <row r="26" spans="1:8" ht="24.95" customHeight="1" x14ac:dyDescent="0.25">
      <c r="A26" s="122" t="s">
        <v>38</v>
      </c>
      <c r="B26" s="12" t="s">
        <v>39</v>
      </c>
      <c r="C26" s="121" t="s">
        <v>24</v>
      </c>
      <c r="D26" s="131">
        <v>663.38199999999995</v>
      </c>
      <c r="E26" s="142">
        <v>397.08300000000003</v>
      </c>
      <c r="F26" s="120"/>
    </row>
    <row r="27" spans="1:8" ht="24.95" customHeight="1" x14ac:dyDescent="0.25">
      <c r="A27" s="122" t="s">
        <v>40</v>
      </c>
      <c r="B27" s="21" t="s">
        <v>41</v>
      </c>
      <c r="C27" s="121" t="s">
        <v>24</v>
      </c>
      <c r="D27" s="118">
        <f>SUM(D28:D36)</f>
        <v>23875.615000000002</v>
      </c>
      <c r="E27" s="142">
        <f>SUM(E28:E36)</f>
        <v>15943.532999999999</v>
      </c>
      <c r="F27" s="120"/>
    </row>
    <row r="28" spans="1:8" ht="31.5" customHeight="1" x14ac:dyDescent="0.25">
      <c r="A28" s="122" t="s">
        <v>100</v>
      </c>
      <c r="B28" s="41" t="s">
        <v>101</v>
      </c>
      <c r="C28" s="122" t="s">
        <v>24</v>
      </c>
      <c r="D28" s="131">
        <v>4880.634</v>
      </c>
      <c r="E28" s="142">
        <v>5787.2660000000005</v>
      </c>
      <c r="F28" s="120"/>
    </row>
    <row r="29" spans="1:8" ht="24.95" customHeight="1" x14ac:dyDescent="0.25">
      <c r="A29" s="122" t="s">
        <v>102</v>
      </c>
      <c r="B29" s="12" t="s">
        <v>103</v>
      </c>
      <c r="C29" s="122" t="s">
        <v>24</v>
      </c>
      <c r="D29" s="142">
        <f>2211.287-D26</f>
        <v>1547.9049999999997</v>
      </c>
      <c r="E29" s="142">
        <f>1620.612-E26</f>
        <v>1223.529</v>
      </c>
      <c r="F29" s="120"/>
    </row>
    <row r="30" spans="1:8" ht="24.95" customHeight="1" x14ac:dyDescent="0.25">
      <c r="A30" s="122" t="s">
        <v>107</v>
      </c>
      <c r="B30" s="12" t="s">
        <v>104</v>
      </c>
      <c r="C30" s="122" t="s">
        <v>24</v>
      </c>
      <c r="D30" s="131">
        <v>24.814</v>
      </c>
      <c r="E30" s="142">
        <v>12.462999999999999</v>
      </c>
      <c r="F30" s="120"/>
    </row>
    <row r="31" spans="1:8" ht="24.95" customHeight="1" x14ac:dyDescent="0.25">
      <c r="A31" s="122" t="s">
        <v>108</v>
      </c>
      <c r="B31" s="12" t="s">
        <v>105</v>
      </c>
      <c r="C31" s="122" t="s">
        <v>24</v>
      </c>
      <c r="D31" s="131">
        <v>204.13200000000001</v>
      </c>
      <c r="E31" s="142">
        <v>75.578999999999994</v>
      </c>
      <c r="F31" s="120"/>
    </row>
    <row r="32" spans="1:8" ht="34.5" customHeight="1" x14ac:dyDescent="0.25">
      <c r="A32" s="122" t="s">
        <v>109</v>
      </c>
      <c r="B32" s="22" t="s">
        <v>106</v>
      </c>
      <c r="C32" s="122" t="s">
        <v>24</v>
      </c>
      <c r="D32" s="131">
        <v>3002.2570000000001</v>
      </c>
      <c r="E32" s="142">
        <v>4091.9259999999999</v>
      </c>
      <c r="F32" s="120"/>
    </row>
    <row r="33" spans="1:7" ht="34.5" customHeight="1" x14ac:dyDescent="0.25">
      <c r="A33" s="122" t="s">
        <v>110</v>
      </c>
      <c r="B33" s="22" t="s">
        <v>112</v>
      </c>
      <c r="C33" s="122" t="s">
        <v>24</v>
      </c>
      <c r="D33" s="131">
        <v>130.80199999999999</v>
      </c>
      <c r="E33" s="142">
        <v>139.52000000000001</v>
      </c>
      <c r="F33" s="120"/>
    </row>
    <row r="34" spans="1:7" ht="24.95" customHeight="1" x14ac:dyDescent="0.25">
      <c r="A34" s="122" t="s">
        <v>111</v>
      </c>
      <c r="B34" s="12" t="s">
        <v>113</v>
      </c>
      <c r="C34" s="122" t="s">
        <v>24</v>
      </c>
      <c r="D34" s="131">
        <v>10013.031999999999</v>
      </c>
      <c r="E34" s="142">
        <v>528.03499999999997</v>
      </c>
      <c r="F34" s="120"/>
    </row>
    <row r="35" spans="1:7" ht="24.95" customHeight="1" x14ac:dyDescent="0.25">
      <c r="A35" s="135" t="s">
        <v>149</v>
      </c>
      <c r="B35" s="12" t="s">
        <v>151</v>
      </c>
      <c r="C35" s="135" t="s">
        <v>24</v>
      </c>
      <c r="D35" s="131">
        <v>1536.8820000000001</v>
      </c>
      <c r="E35" s="142">
        <v>1221.8510000000001</v>
      </c>
      <c r="F35" s="133"/>
    </row>
    <row r="36" spans="1:7" ht="24.95" customHeight="1" x14ac:dyDescent="0.25">
      <c r="A36" s="135" t="s">
        <v>150</v>
      </c>
      <c r="B36" s="12" t="s">
        <v>152</v>
      </c>
      <c r="C36" s="135" t="s">
        <v>24</v>
      </c>
      <c r="D36" s="131">
        <v>2535.1570000000002</v>
      </c>
      <c r="E36" s="142">
        <v>2863.364</v>
      </c>
      <c r="F36" s="133"/>
    </row>
    <row r="37" spans="1:7" ht="34.5" customHeight="1" x14ac:dyDescent="0.25">
      <c r="A37" s="20" t="s">
        <v>85</v>
      </c>
      <c r="B37" s="12" t="s">
        <v>42</v>
      </c>
      <c r="C37" s="121" t="s">
        <v>24</v>
      </c>
      <c r="D37" s="118"/>
      <c r="E37" s="28"/>
      <c r="F37" s="120"/>
    </row>
    <row r="38" spans="1:7" ht="24.95" customHeight="1" x14ac:dyDescent="0.25">
      <c r="A38" s="20" t="s">
        <v>86</v>
      </c>
      <c r="B38" s="12" t="s">
        <v>43</v>
      </c>
      <c r="C38" s="121" t="s">
        <v>24</v>
      </c>
      <c r="D38" s="118"/>
      <c r="E38" s="28"/>
      <c r="F38" s="120"/>
    </row>
    <row r="39" spans="1:7" ht="24.95" customHeight="1" x14ac:dyDescent="0.25">
      <c r="A39" s="23" t="s">
        <v>6</v>
      </c>
      <c r="B39" s="13" t="s">
        <v>44</v>
      </c>
      <c r="C39" s="14" t="s">
        <v>24</v>
      </c>
      <c r="D39" s="24">
        <f>SUM(D40:D49)+D51+D52</f>
        <v>72813.51999999999</v>
      </c>
      <c r="E39" s="24">
        <f>SUM(E40:E49)+E51+E52</f>
        <v>122508.048</v>
      </c>
      <c r="F39" s="25"/>
    </row>
    <row r="40" spans="1:7" ht="24.95" customHeight="1" x14ac:dyDescent="0.25">
      <c r="A40" s="20" t="s">
        <v>7</v>
      </c>
      <c r="B40" s="12" t="s">
        <v>45</v>
      </c>
      <c r="C40" s="121" t="s">
        <v>24</v>
      </c>
      <c r="D40" s="118"/>
      <c r="E40" s="37"/>
      <c r="F40" s="120"/>
    </row>
    <row r="41" spans="1:7" ht="33.75" customHeight="1" x14ac:dyDescent="0.25">
      <c r="A41" s="20" t="s">
        <v>8</v>
      </c>
      <c r="B41" s="12" t="s">
        <v>46</v>
      </c>
      <c r="C41" s="121" t="s">
        <v>24</v>
      </c>
      <c r="D41" s="118"/>
      <c r="E41" s="37"/>
      <c r="F41" s="120"/>
    </row>
    <row r="42" spans="1:7" ht="24.95" customHeight="1" x14ac:dyDescent="0.25">
      <c r="A42" s="20" t="s">
        <v>11</v>
      </c>
      <c r="B42" s="12" t="s">
        <v>47</v>
      </c>
      <c r="C42" s="121" t="s">
        <v>24</v>
      </c>
      <c r="D42" s="139"/>
      <c r="E42" s="140"/>
      <c r="F42" s="120"/>
    </row>
    <row r="43" spans="1:7" ht="24.95" customHeight="1" x14ac:dyDescent="0.25">
      <c r="A43" s="20" t="s">
        <v>12</v>
      </c>
      <c r="B43" s="12" t="s">
        <v>10</v>
      </c>
      <c r="C43" s="121" t="s">
        <v>24</v>
      </c>
      <c r="D43" s="40">
        <v>30542.973000000002</v>
      </c>
      <c r="E43" s="40">
        <v>31288.082999999999</v>
      </c>
      <c r="F43" s="120"/>
    </row>
    <row r="44" spans="1:7" ht="36.75" customHeight="1" x14ac:dyDescent="0.25">
      <c r="A44" s="20" t="s">
        <v>14</v>
      </c>
      <c r="B44" s="12" t="s">
        <v>48</v>
      </c>
      <c r="C44" s="121" t="s">
        <v>24</v>
      </c>
      <c r="D44" s="118"/>
      <c r="E44" s="37"/>
      <c r="F44" s="120"/>
    </row>
    <row r="45" spans="1:7" ht="24.95" customHeight="1" x14ac:dyDescent="0.25">
      <c r="A45" s="20" t="s">
        <v>16</v>
      </c>
      <c r="B45" s="12" t="s">
        <v>49</v>
      </c>
      <c r="C45" s="121" t="s">
        <v>24</v>
      </c>
      <c r="D45" s="40">
        <v>26178.163</v>
      </c>
      <c r="E45" s="40">
        <v>81265.388999999996</v>
      </c>
      <c r="F45" s="120"/>
    </row>
    <row r="46" spans="1:7" ht="24.95" customHeight="1" x14ac:dyDescent="0.25">
      <c r="A46" s="20" t="s">
        <v>17</v>
      </c>
      <c r="B46" s="12" t="s">
        <v>50</v>
      </c>
      <c r="C46" s="121" t="s">
        <v>24</v>
      </c>
      <c r="D46" s="141"/>
      <c r="E46" s="111"/>
      <c r="F46" s="55" t="s">
        <v>129</v>
      </c>
      <c r="G46" s="2"/>
    </row>
    <row r="47" spans="1:7" ht="24.95" customHeight="1" x14ac:dyDescent="0.25">
      <c r="A47" s="20" t="s">
        <v>88</v>
      </c>
      <c r="B47" s="12" t="s">
        <v>13</v>
      </c>
      <c r="C47" s="121" t="s">
        <v>24</v>
      </c>
      <c r="D47" s="40">
        <v>0</v>
      </c>
      <c r="E47" s="40"/>
      <c r="F47" s="120"/>
    </row>
    <row r="48" spans="1:7" ht="24.95" customHeight="1" x14ac:dyDescent="0.25">
      <c r="A48" s="20" t="s">
        <v>87</v>
      </c>
      <c r="B48" s="12" t="s">
        <v>15</v>
      </c>
      <c r="C48" s="121" t="s">
        <v>24</v>
      </c>
      <c r="D48" s="40">
        <v>7242.9</v>
      </c>
      <c r="E48" s="40">
        <v>6987.5959999999995</v>
      </c>
      <c r="F48" s="120"/>
    </row>
    <row r="49" spans="1:9" ht="54" customHeight="1" x14ac:dyDescent="0.25">
      <c r="A49" s="20" t="s">
        <v>89</v>
      </c>
      <c r="B49" s="12" t="s">
        <v>51</v>
      </c>
      <c r="C49" s="122" t="s">
        <v>24</v>
      </c>
      <c r="D49" s="40">
        <v>7871.86</v>
      </c>
      <c r="E49" s="144">
        <v>2352.62</v>
      </c>
      <c r="F49" s="120"/>
    </row>
    <row r="50" spans="1:9" ht="24.95" customHeight="1" x14ac:dyDescent="0.25">
      <c r="A50" s="122" t="s">
        <v>52</v>
      </c>
      <c r="B50" s="12" t="s">
        <v>53</v>
      </c>
      <c r="C50" s="121" t="s">
        <v>54</v>
      </c>
      <c r="D50" s="42">
        <v>81</v>
      </c>
      <c r="E50" s="119"/>
      <c r="F50" s="120"/>
    </row>
    <row r="51" spans="1:9" ht="93" customHeight="1" x14ac:dyDescent="0.25">
      <c r="A51" s="20" t="s">
        <v>90</v>
      </c>
      <c r="B51" s="12" t="s">
        <v>55</v>
      </c>
      <c r="C51" s="122" t="s">
        <v>24</v>
      </c>
      <c r="D51" s="118"/>
      <c r="E51" s="37"/>
      <c r="F51" s="120"/>
    </row>
    <row r="52" spans="1:9" ht="24.95" customHeight="1" x14ac:dyDescent="0.25">
      <c r="A52" s="20" t="s">
        <v>91</v>
      </c>
      <c r="B52" s="12" t="s">
        <v>122</v>
      </c>
      <c r="C52" s="122" t="s">
        <v>24</v>
      </c>
      <c r="D52" s="40">
        <v>977.62400000000002</v>
      </c>
      <c r="E52" s="40">
        <v>614.36</v>
      </c>
      <c r="F52" s="120"/>
    </row>
    <row r="53" spans="1:9" ht="39" customHeight="1" x14ac:dyDescent="0.25">
      <c r="A53" s="116" t="s">
        <v>92</v>
      </c>
      <c r="B53" s="12" t="s">
        <v>56</v>
      </c>
      <c r="C53" s="122" t="s">
        <v>24</v>
      </c>
      <c r="D53" s="132">
        <v>82490.482999999993</v>
      </c>
      <c r="E53" s="37"/>
      <c r="F53" s="120"/>
    </row>
    <row r="54" spans="1:9" ht="48.75" customHeight="1" x14ac:dyDescent="0.25">
      <c r="A54" s="116" t="s">
        <v>139</v>
      </c>
      <c r="B54" s="12" t="s">
        <v>140</v>
      </c>
      <c r="C54" s="122" t="s">
        <v>24</v>
      </c>
      <c r="D54" s="132">
        <v>0</v>
      </c>
      <c r="E54" s="143">
        <v>744.38599999999997</v>
      </c>
      <c r="F54" s="120"/>
    </row>
    <row r="55" spans="1:9" ht="30.75" customHeight="1" x14ac:dyDescent="0.25">
      <c r="A55" s="124" t="s">
        <v>145</v>
      </c>
      <c r="B55" s="127" t="s">
        <v>146</v>
      </c>
      <c r="C55" s="123" t="s">
        <v>24</v>
      </c>
      <c r="D55" s="28"/>
      <c r="E55" s="126"/>
      <c r="F55" s="125"/>
    </row>
    <row r="56" spans="1:9" ht="44.25" customHeight="1" x14ac:dyDescent="0.25">
      <c r="A56" s="122" t="s">
        <v>57</v>
      </c>
      <c r="B56" s="12" t="s">
        <v>114</v>
      </c>
      <c r="C56" s="122" t="s">
        <v>24</v>
      </c>
      <c r="D56" s="131">
        <f>D16+D18+D23+D28</f>
        <v>4880.634</v>
      </c>
      <c r="E56" s="131">
        <f>E16+E18+E23+E28</f>
        <v>5787.2660000000005</v>
      </c>
      <c r="F56" s="120"/>
      <c r="G56" s="2"/>
      <c r="H56" s="2"/>
      <c r="I56" s="2"/>
    </row>
    <row r="57" spans="1:9" ht="39" customHeight="1" x14ac:dyDescent="0.25">
      <c r="A57" s="122" t="s">
        <v>58</v>
      </c>
      <c r="B57" s="13" t="s">
        <v>59</v>
      </c>
      <c r="C57" s="14" t="s">
        <v>24</v>
      </c>
      <c r="D57" s="24">
        <v>36036.129999999997</v>
      </c>
      <c r="E57" s="24">
        <v>45590.764000000003</v>
      </c>
      <c r="F57" s="15"/>
    </row>
    <row r="58" spans="1:9" ht="24.95" customHeight="1" x14ac:dyDescent="0.25">
      <c r="A58" s="152" t="s">
        <v>2</v>
      </c>
      <c r="B58" s="12" t="s">
        <v>60</v>
      </c>
      <c r="C58" s="150" t="s">
        <v>62</v>
      </c>
      <c r="D58" s="156">
        <v>14308.8</v>
      </c>
      <c r="E58" s="157">
        <v>14884.947</v>
      </c>
      <c r="F58" s="155"/>
    </row>
    <row r="59" spans="1:9" ht="24.95" customHeight="1" x14ac:dyDescent="0.25">
      <c r="A59" s="152"/>
      <c r="B59" s="12" t="s">
        <v>61</v>
      </c>
      <c r="C59" s="151"/>
      <c r="D59" s="156"/>
      <c r="E59" s="157"/>
      <c r="F59" s="155"/>
    </row>
    <row r="60" spans="1:9" ht="24.95" customHeight="1" x14ac:dyDescent="0.25">
      <c r="A60" s="152" t="s">
        <v>6</v>
      </c>
      <c r="B60" s="12" t="s">
        <v>60</v>
      </c>
      <c r="C60" s="153" t="s">
        <v>115</v>
      </c>
      <c r="D60" s="154">
        <f>D57/D58*1000</f>
        <v>2518.4592698199708</v>
      </c>
      <c r="E60" s="154">
        <f>E57/E58*1000</f>
        <v>3062.8771469592739</v>
      </c>
      <c r="F60" s="155"/>
    </row>
    <row r="61" spans="1:9" ht="37.5" customHeight="1" x14ac:dyDescent="0.25">
      <c r="A61" s="152"/>
      <c r="B61" s="12" t="s">
        <v>63</v>
      </c>
      <c r="C61" s="153"/>
      <c r="D61" s="154"/>
      <c r="E61" s="154"/>
      <c r="F61" s="155"/>
    </row>
    <row r="62" spans="1:9" ht="53.25" customHeight="1" x14ac:dyDescent="0.25">
      <c r="A62" s="122" t="s">
        <v>64</v>
      </c>
      <c r="B62" s="12" t="s">
        <v>65</v>
      </c>
      <c r="C62" s="122" t="s">
        <v>22</v>
      </c>
      <c r="D62" s="122" t="s">
        <v>22</v>
      </c>
      <c r="E62" s="122" t="s">
        <v>22</v>
      </c>
      <c r="F62" s="122" t="s">
        <v>22</v>
      </c>
    </row>
    <row r="63" spans="1:9" ht="29.25" customHeight="1" x14ac:dyDescent="0.25">
      <c r="A63" s="36">
        <v>1</v>
      </c>
      <c r="B63" s="13" t="s">
        <v>134</v>
      </c>
      <c r="C63" s="14" t="s">
        <v>66</v>
      </c>
      <c r="D63" s="25">
        <v>4201</v>
      </c>
      <c r="E63" s="25">
        <v>4181</v>
      </c>
      <c r="F63" s="15"/>
    </row>
    <row r="64" spans="1:9" ht="24.95" customHeight="1" x14ac:dyDescent="0.25">
      <c r="A64" s="36">
        <v>2</v>
      </c>
      <c r="B64" s="13" t="s">
        <v>67</v>
      </c>
      <c r="C64" s="14" t="s">
        <v>68</v>
      </c>
      <c r="D64" s="24">
        <v>123.55500000000001</v>
      </c>
      <c r="E64" s="24">
        <v>123.765</v>
      </c>
      <c r="F64" s="15"/>
    </row>
    <row r="65" spans="1:10" ht="24.95" customHeight="1" x14ac:dyDescent="0.25">
      <c r="A65" s="122"/>
      <c r="B65" s="122" t="s">
        <v>116</v>
      </c>
      <c r="C65" s="122" t="s">
        <v>68</v>
      </c>
      <c r="D65" s="132">
        <v>20</v>
      </c>
      <c r="E65" s="132">
        <v>20</v>
      </c>
      <c r="F65" s="119"/>
    </row>
    <row r="66" spans="1:10" ht="37.5" customHeight="1" x14ac:dyDescent="0.25">
      <c r="A66" s="122"/>
      <c r="B66" s="122" t="s">
        <v>117</v>
      </c>
      <c r="C66" s="122" t="s">
        <v>68</v>
      </c>
      <c r="D66" s="131">
        <f>D64-D65</f>
        <v>103.55500000000001</v>
      </c>
      <c r="E66" s="131">
        <f>E64-E65</f>
        <v>103.765</v>
      </c>
      <c r="F66" s="119"/>
    </row>
    <row r="67" spans="1:10" ht="24.95" customHeight="1" x14ac:dyDescent="0.25">
      <c r="A67" s="36">
        <v>3</v>
      </c>
      <c r="B67" s="13" t="s">
        <v>69</v>
      </c>
      <c r="C67" s="14" t="s">
        <v>70</v>
      </c>
      <c r="D67" s="24">
        <f>D68+D69+D70</f>
        <v>1094.9756000000002</v>
      </c>
      <c r="E67" s="24">
        <f>E68+E69+E70</f>
        <v>1097.7449999999999</v>
      </c>
      <c r="F67" s="120"/>
      <c r="G67" s="2"/>
    </row>
    <row r="68" spans="1:10" ht="35.25" customHeight="1" x14ac:dyDescent="0.25">
      <c r="A68" s="122"/>
      <c r="B68" s="122" t="s">
        <v>116</v>
      </c>
      <c r="C68" s="122" t="s">
        <v>70</v>
      </c>
      <c r="D68" s="131">
        <v>12.315</v>
      </c>
      <c r="E68" s="131">
        <v>12.315</v>
      </c>
      <c r="F68" s="119"/>
    </row>
    <row r="69" spans="1:10" ht="35.25" customHeight="1" x14ac:dyDescent="0.25">
      <c r="A69" s="122"/>
      <c r="B69" s="122" t="s">
        <v>117</v>
      </c>
      <c r="C69" s="122" t="s">
        <v>70</v>
      </c>
      <c r="D69" s="131">
        <v>622.60460000000012</v>
      </c>
      <c r="E69" s="131">
        <v>623.42899999999997</v>
      </c>
      <c r="F69" s="119"/>
    </row>
    <row r="70" spans="1:10" ht="35.25" customHeight="1" x14ac:dyDescent="0.25">
      <c r="A70" s="122"/>
      <c r="B70" s="122" t="s">
        <v>118</v>
      </c>
      <c r="C70" s="122" t="s">
        <v>70</v>
      </c>
      <c r="D70" s="131">
        <v>460.05599999999998</v>
      </c>
      <c r="E70" s="131">
        <f>442.299+19.702</f>
        <v>462.00099999999998</v>
      </c>
      <c r="F70" s="119"/>
      <c r="G70" s="2"/>
    </row>
    <row r="71" spans="1:10" ht="24.95" customHeight="1" x14ac:dyDescent="0.25">
      <c r="A71" s="36">
        <v>4</v>
      </c>
      <c r="B71" s="13" t="s">
        <v>71</v>
      </c>
      <c r="C71" s="14" t="s">
        <v>70</v>
      </c>
      <c r="D71" s="38">
        <f>D72+D73+D74</f>
        <v>2062.1</v>
      </c>
      <c r="E71" s="38">
        <f>E72+E73+E74</f>
        <v>2110.3999999999996</v>
      </c>
      <c r="F71" s="120"/>
    </row>
    <row r="72" spans="1:10" ht="24.95" customHeight="1" x14ac:dyDescent="0.25">
      <c r="A72" s="122"/>
      <c r="B72" s="26" t="s">
        <v>116</v>
      </c>
      <c r="C72" s="121" t="s">
        <v>70</v>
      </c>
      <c r="D72" s="136">
        <v>92</v>
      </c>
      <c r="E72" s="136">
        <v>92</v>
      </c>
      <c r="F72" s="120"/>
    </row>
    <row r="73" spans="1:10" ht="24.95" customHeight="1" x14ac:dyDescent="0.25">
      <c r="A73" s="122"/>
      <c r="B73" s="26" t="s">
        <v>117</v>
      </c>
      <c r="C73" s="121" t="s">
        <v>70</v>
      </c>
      <c r="D73" s="131">
        <v>1970.1</v>
      </c>
      <c r="E73" s="136">
        <v>2018.3999999999996</v>
      </c>
      <c r="F73" s="120"/>
    </row>
    <row r="74" spans="1:10" ht="24.95" customHeight="1" x14ac:dyDescent="0.25">
      <c r="A74" s="122"/>
      <c r="B74" s="26" t="s">
        <v>118</v>
      </c>
      <c r="C74" s="121" t="s">
        <v>70</v>
      </c>
      <c r="D74" s="119"/>
      <c r="E74" s="119"/>
      <c r="F74" s="120"/>
    </row>
    <row r="75" spans="1:10" ht="24.95" customHeight="1" x14ac:dyDescent="0.25">
      <c r="A75" s="36">
        <v>5</v>
      </c>
      <c r="B75" s="13" t="s">
        <v>72</v>
      </c>
      <c r="C75" s="14" t="s">
        <v>73</v>
      </c>
      <c r="D75" s="24">
        <f>D77+D78+D76</f>
        <v>408.87349999999998</v>
      </c>
      <c r="E75" s="24">
        <f>E77+E78+E76</f>
        <v>410.03460000000001</v>
      </c>
      <c r="F75" s="120"/>
    </row>
    <row r="76" spans="1:10" ht="24.95" customHeight="1" x14ac:dyDescent="0.25">
      <c r="A76" s="122"/>
      <c r="B76" s="26" t="s">
        <v>116</v>
      </c>
      <c r="C76" s="121" t="s">
        <v>73</v>
      </c>
      <c r="D76" s="132">
        <v>7.2</v>
      </c>
      <c r="E76" s="132">
        <v>7.2</v>
      </c>
      <c r="F76" s="120"/>
    </row>
    <row r="77" spans="1:10" ht="24.95" customHeight="1" x14ac:dyDescent="0.25">
      <c r="A77" s="122"/>
      <c r="B77" s="26" t="s">
        <v>117</v>
      </c>
      <c r="C77" s="121" t="s">
        <v>73</v>
      </c>
      <c r="D77" s="131">
        <v>227.90550000000002</v>
      </c>
      <c r="E77" s="131">
        <v>228.32560000000001</v>
      </c>
      <c r="F77" s="119"/>
    </row>
    <row r="78" spans="1:10" ht="24.95" customHeight="1" x14ac:dyDescent="0.25">
      <c r="A78" s="122"/>
      <c r="B78" s="26" t="s">
        <v>118</v>
      </c>
      <c r="C78" s="121" t="s">
        <v>73</v>
      </c>
      <c r="D78" s="131">
        <v>173.768</v>
      </c>
      <c r="E78" s="131">
        <v>174.50900000000001</v>
      </c>
      <c r="F78" s="119"/>
    </row>
    <row r="79" spans="1:10" ht="24.95" customHeight="1" x14ac:dyDescent="0.25">
      <c r="A79" s="36">
        <v>6</v>
      </c>
      <c r="B79" s="13" t="s">
        <v>74</v>
      </c>
      <c r="C79" s="14" t="s">
        <v>75</v>
      </c>
      <c r="D79" s="92">
        <f>(143.526+143.951)/D75*100</f>
        <v>70.309521159967574</v>
      </c>
      <c r="E79" s="92">
        <f>287.743/E75*100</f>
        <v>70.175297401731456</v>
      </c>
      <c r="F79" s="15"/>
    </row>
    <row r="80" spans="1:10" ht="32.25" customHeight="1" x14ac:dyDescent="0.25">
      <c r="A80" s="122">
        <v>7</v>
      </c>
      <c r="B80" s="12" t="s">
        <v>76</v>
      </c>
      <c r="C80" s="122" t="s">
        <v>24</v>
      </c>
      <c r="D80" s="37"/>
      <c r="E80" s="131">
        <v>26117.339</v>
      </c>
      <c r="F80" s="19"/>
      <c r="J80" s="2"/>
    </row>
    <row r="81" spans="1:10" ht="35.25" customHeight="1" x14ac:dyDescent="0.25">
      <c r="A81" s="122">
        <v>8</v>
      </c>
      <c r="B81" s="12" t="s">
        <v>141</v>
      </c>
      <c r="C81" s="122" t="s">
        <v>24</v>
      </c>
      <c r="D81" s="37"/>
      <c r="E81" s="137">
        <v>261.70499999999998</v>
      </c>
      <c r="F81" s="19"/>
      <c r="G81" s="2"/>
    </row>
    <row r="82" spans="1:10" ht="41.25" customHeight="1" x14ac:dyDescent="0.25">
      <c r="A82" s="27">
        <v>9</v>
      </c>
      <c r="B82" s="119" t="s">
        <v>123</v>
      </c>
      <c r="C82" s="122" t="s">
        <v>75</v>
      </c>
      <c r="D82" s="122" t="s">
        <v>93</v>
      </c>
      <c r="E82" s="122" t="s">
        <v>93</v>
      </c>
      <c r="F82" s="122" t="s">
        <v>93</v>
      </c>
      <c r="J82" s="2"/>
    </row>
    <row r="83" spans="1:10" ht="15.75" x14ac:dyDescent="0.25">
      <c r="A83" s="3"/>
      <c r="B83" s="3"/>
      <c r="C83" s="3"/>
      <c r="D83" s="3"/>
      <c r="E83" s="3"/>
      <c r="F83" s="3"/>
    </row>
    <row r="84" spans="1:10" s="11" customFormat="1" ht="16.5" customHeight="1" x14ac:dyDescent="0.25">
      <c r="B84" s="115" t="s">
        <v>94</v>
      </c>
    </row>
    <row r="85" spans="1:10" s="11" customFormat="1" ht="57.75" customHeight="1" x14ac:dyDescent="0.25">
      <c r="B85" s="158" t="s">
        <v>95</v>
      </c>
      <c r="C85" s="158"/>
      <c r="D85" s="158"/>
      <c r="E85" s="158"/>
      <c r="F85" s="158"/>
    </row>
    <row r="86" spans="1:10" s="11" customFormat="1" ht="30.75" customHeight="1" x14ac:dyDescent="0.25">
      <c r="B86" s="158" t="s">
        <v>96</v>
      </c>
      <c r="C86" s="158"/>
      <c r="D86" s="158"/>
      <c r="E86" s="158"/>
      <c r="F86" s="158"/>
    </row>
    <row r="87" spans="1:10" s="11" customFormat="1" ht="33.75" customHeight="1" x14ac:dyDescent="0.25">
      <c r="B87" s="159" t="s">
        <v>97</v>
      </c>
      <c r="C87" s="159"/>
      <c r="D87" s="159"/>
      <c r="E87" s="159"/>
      <c r="F87" s="159"/>
    </row>
    <row r="88" spans="1:10" s="11" customFormat="1" ht="34.5" customHeight="1" x14ac:dyDescent="0.25">
      <c r="B88" s="158" t="s">
        <v>98</v>
      </c>
      <c r="C88" s="158"/>
      <c r="D88" s="158"/>
      <c r="E88" s="158"/>
      <c r="F88" s="158"/>
    </row>
    <row r="89" spans="1:10" s="11" customFormat="1" ht="31.5" customHeight="1" x14ac:dyDescent="0.25">
      <c r="B89" s="158" t="s">
        <v>99</v>
      </c>
      <c r="C89" s="158"/>
      <c r="D89" s="158"/>
      <c r="E89" s="158"/>
      <c r="F89" s="158"/>
    </row>
    <row r="90" spans="1:10" x14ac:dyDescent="0.25">
      <c r="B90" s="10"/>
    </row>
  </sheetData>
  <mergeCells count="22">
    <mergeCell ref="B85:F85"/>
    <mergeCell ref="B86:F86"/>
    <mergeCell ref="B87:F87"/>
    <mergeCell ref="B88:F88"/>
    <mergeCell ref="B89:F89"/>
    <mergeCell ref="A58:A59"/>
    <mergeCell ref="C58:C59"/>
    <mergeCell ref="D58:D59"/>
    <mergeCell ref="E58:E59"/>
    <mergeCell ref="F58:F59"/>
    <mergeCell ref="A60:A61"/>
    <mergeCell ref="C60:C61"/>
    <mergeCell ref="D60:D61"/>
    <mergeCell ref="E60:E61"/>
    <mergeCell ref="F60:F61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7" location="Par395" tooltip="Примечание &lt;***&gt;" display="Par395"/>
  </hyperlinks>
  <pageMargins left="0.7" right="0.7" top="0.75" bottom="0.75" header="0.3" footer="0.3"/>
  <pageSetup paperSize="9"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zoomScale="76" zoomScaleSheetLayoutView="76" workbookViewId="0">
      <selection activeCell="H25" sqref="H25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5" width="16.7109375" customWidth="1"/>
    <col min="6" max="6" width="16.7109375" hidden="1" customWidth="1"/>
    <col min="7" max="7" width="14.7109375" customWidth="1"/>
    <col min="8" max="8" width="14.5703125" customWidth="1"/>
    <col min="10" max="10" width="9.28515625" bestFit="1" customWidth="1"/>
  </cols>
  <sheetData>
    <row r="1" spans="1:10" ht="15.75" x14ac:dyDescent="0.25">
      <c r="A1" s="3"/>
      <c r="B1" s="3"/>
      <c r="C1" s="3" t="s">
        <v>77</v>
      </c>
      <c r="D1" s="3"/>
      <c r="E1" s="3"/>
      <c r="F1" s="3"/>
    </row>
    <row r="2" spans="1:10" ht="35.25" customHeight="1" x14ac:dyDescent="0.25">
      <c r="A2" s="3"/>
      <c r="B2" s="3"/>
      <c r="C2" s="145" t="s">
        <v>78</v>
      </c>
      <c r="D2" s="145"/>
      <c r="E2" s="145"/>
      <c r="F2" s="145"/>
    </row>
    <row r="3" spans="1:10" ht="69.75" customHeight="1" x14ac:dyDescent="0.25">
      <c r="A3" s="146" t="s">
        <v>79</v>
      </c>
      <c r="B3" s="146"/>
      <c r="C3" s="146"/>
      <c r="D3" s="146"/>
      <c r="E3" s="146"/>
      <c r="F3" s="146"/>
    </row>
    <row r="4" spans="1:10" ht="38.25" customHeight="1" x14ac:dyDescent="0.3">
      <c r="A4" s="6" t="s">
        <v>80</v>
      </c>
      <c r="B4" s="6"/>
      <c r="C4" s="7"/>
      <c r="D4" s="5"/>
      <c r="E4" s="5"/>
      <c r="F4" s="5"/>
    </row>
    <row r="5" spans="1:10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0" ht="19.5" customHeight="1" x14ac:dyDescent="0.3">
      <c r="A6" s="8" t="s">
        <v>82</v>
      </c>
      <c r="B6" s="8" t="s">
        <v>142</v>
      </c>
      <c r="C6" s="9"/>
      <c r="D6" s="4"/>
      <c r="E6" s="4"/>
      <c r="F6" s="4"/>
    </row>
    <row r="7" spans="1:10" ht="19.5" customHeight="1" x14ac:dyDescent="0.3">
      <c r="A7" s="8" t="s">
        <v>144</v>
      </c>
      <c r="B7" s="8"/>
      <c r="C7" s="9"/>
      <c r="D7" s="35"/>
      <c r="E7" s="4"/>
      <c r="F7" s="4"/>
    </row>
    <row r="8" spans="1:10" ht="15.75" x14ac:dyDescent="0.25">
      <c r="A8" s="3"/>
      <c r="B8" s="3"/>
      <c r="C8" s="3"/>
      <c r="D8" s="3"/>
      <c r="E8" s="3"/>
      <c r="F8" s="3"/>
    </row>
    <row r="9" spans="1:10" ht="15.75" x14ac:dyDescent="0.25">
      <c r="A9" s="147" t="s">
        <v>18</v>
      </c>
      <c r="B9" s="147" t="s">
        <v>0</v>
      </c>
      <c r="C9" s="147" t="s">
        <v>19</v>
      </c>
      <c r="D9" s="148" t="s">
        <v>143</v>
      </c>
      <c r="E9" s="149"/>
      <c r="F9" s="150" t="s">
        <v>1</v>
      </c>
    </row>
    <row r="10" spans="1:10" ht="42.75" customHeight="1" x14ac:dyDescent="0.25">
      <c r="A10" s="147"/>
      <c r="B10" s="147"/>
      <c r="C10" s="147"/>
      <c r="D10" s="130" t="s">
        <v>124</v>
      </c>
      <c r="E10" s="130" t="s">
        <v>84</v>
      </c>
      <c r="F10" s="151"/>
    </row>
    <row r="11" spans="1:10" ht="24.75" customHeight="1" x14ac:dyDescent="0.25">
      <c r="A11" s="134" t="s">
        <v>20</v>
      </c>
      <c r="B11" s="12" t="s">
        <v>21</v>
      </c>
      <c r="C11" s="134" t="s">
        <v>22</v>
      </c>
      <c r="D11" s="134" t="s">
        <v>22</v>
      </c>
      <c r="E11" s="134" t="s">
        <v>22</v>
      </c>
      <c r="F11" s="134" t="s">
        <v>22</v>
      </c>
      <c r="G11" s="53"/>
      <c r="H11" s="53"/>
    </row>
    <row r="12" spans="1:10" ht="30" customHeight="1" x14ac:dyDescent="0.25">
      <c r="A12" s="134">
        <v>1</v>
      </c>
      <c r="B12" s="13" t="s">
        <v>23</v>
      </c>
      <c r="C12" s="14" t="s">
        <v>24</v>
      </c>
      <c r="D12" s="24">
        <f>D13+D37+D51+D52+D53</f>
        <v>171757.46199999997</v>
      </c>
      <c r="E12" s="24">
        <f>E13+E37+E51+E52</f>
        <v>231663.5</v>
      </c>
      <c r="F12" s="15"/>
      <c r="G12" s="63"/>
      <c r="H12" s="63"/>
      <c r="I12" s="60"/>
      <c r="J12" s="2"/>
    </row>
    <row r="13" spans="1:10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102078.43199999999</v>
      </c>
      <c r="E13" s="24">
        <f>E14+E19+E24+E35+E36</f>
        <v>121779.598</v>
      </c>
      <c r="F13" s="15"/>
      <c r="G13" s="2"/>
      <c r="H13" s="61"/>
    </row>
    <row r="14" spans="1:10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3481.8609999999999</v>
      </c>
      <c r="E14" s="24">
        <f>E15+E17</f>
        <v>5009.7939999999999</v>
      </c>
      <c r="F14" s="15"/>
      <c r="G14" s="2"/>
      <c r="H14" s="2"/>
    </row>
    <row r="15" spans="1:10" ht="24.95" customHeight="1" x14ac:dyDescent="0.25">
      <c r="A15" s="134" t="s">
        <v>27</v>
      </c>
      <c r="B15" s="12" t="s">
        <v>28</v>
      </c>
      <c r="C15" s="134" t="s">
        <v>24</v>
      </c>
      <c r="D15" s="131">
        <v>3335.7359999999999</v>
      </c>
      <c r="E15" s="131">
        <v>4475.616</v>
      </c>
      <c r="F15" s="133"/>
      <c r="H15" s="2"/>
    </row>
    <row r="16" spans="1:10" ht="19.5" customHeight="1" x14ac:dyDescent="0.25">
      <c r="A16" s="134" t="s">
        <v>29</v>
      </c>
      <c r="B16" s="26" t="s">
        <v>33</v>
      </c>
      <c r="C16" s="134" t="s">
        <v>24</v>
      </c>
      <c r="D16" s="113"/>
      <c r="E16" s="113"/>
      <c r="F16" s="133"/>
      <c r="G16" s="2"/>
      <c r="H16" s="2"/>
      <c r="I16" s="2"/>
    </row>
    <row r="17" spans="1:8" ht="51" customHeight="1" x14ac:dyDescent="0.25">
      <c r="A17" s="134" t="s">
        <v>30</v>
      </c>
      <c r="B17" s="12" t="s">
        <v>31</v>
      </c>
      <c r="C17" s="134" t="s">
        <v>24</v>
      </c>
      <c r="D17" s="131">
        <v>146.125</v>
      </c>
      <c r="E17" s="131">
        <v>534.178</v>
      </c>
      <c r="F17" s="133"/>
      <c r="H17" s="2"/>
    </row>
    <row r="18" spans="1:8" ht="24.95" customHeight="1" x14ac:dyDescent="0.25">
      <c r="A18" s="134" t="s">
        <v>32</v>
      </c>
      <c r="B18" s="26" t="s">
        <v>33</v>
      </c>
      <c r="C18" s="134" t="s">
        <v>24</v>
      </c>
      <c r="D18" s="113"/>
      <c r="E18" s="113"/>
      <c r="F18" s="133"/>
      <c r="H18" s="2"/>
    </row>
    <row r="19" spans="1:8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85645.583999999988</v>
      </c>
      <c r="E19" s="24">
        <f>E20+E21+E22</f>
        <v>98668.248000000007</v>
      </c>
      <c r="F19" s="15"/>
      <c r="G19" s="62"/>
      <c r="H19" s="62"/>
    </row>
    <row r="20" spans="1:8" ht="24.95" customHeight="1" outlineLevel="1" x14ac:dyDescent="0.25">
      <c r="A20" s="29"/>
      <c r="B20" s="30" t="s">
        <v>119</v>
      </c>
      <c r="C20" s="31" t="s">
        <v>24</v>
      </c>
      <c r="D20" s="32">
        <v>84402.686000000002</v>
      </c>
      <c r="E20" s="32">
        <f>98668.248-E21-E22</f>
        <v>97306.782000000007</v>
      </c>
      <c r="F20" s="33"/>
    </row>
    <row r="21" spans="1:8" ht="24.95" customHeight="1" outlineLevel="1" x14ac:dyDescent="0.25">
      <c r="A21" s="29"/>
      <c r="B21" s="30" t="s">
        <v>120</v>
      </c>
      <c r="C21" s="31" t="s">
        <v>24</v>
      </c>
      <c r="D21" s="32">
        <v>1241.1079999999999</v>
      </c>
      <c r="E21" s="32">
        <v>792.09699999999998</v>
      </c>
      <c r="F21" s="34"/>
    </row>
    <row r="22" spans="1:8" ht="24.95" customHeight="1" outlineLevel="1" x14ac:dyDescent="0.25">
      <c r="A22" s="29"/>
      <c r="B22" s="30" t="s">
        <v>121</v>
      </c>
      <c r="C22" s="31" t="s">
        <v>24</v>
      </c>
      <c r="D22" s="32">
        <v>1.79</v>
      </c>
      <c r="E22" s="32">
        <v>569.36900000000003</v>
      </c>
      <c r="F22" s="34"/>
    </row>
    <row r="23" spans="1:8" ht="24.95" customHeight="1" x14ac:dyDescent="0.25">
      <c r="A23" s="135" t="s">
        <v>34</v>
      </c>
      <c r="B23" s="26" t="s">
        <v>33</v>
      </c>
      <c r="C23" s="134" t="s">
        <v>24</v>
      </c>
      <c r="D23" s="131"/>
      <c r="E23" s="131"/>
      <c r="F23" s="133"/>
    </row>
    <row r="24" spans="1:8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12950.986999999999</v>
      </c>
      <c r="E24" s="24">
        <f>E25+E26+E27</f>
        <v>18101.556</v>
      </c>
      <c r="F24" s="133"/>
    </row>
    <row r="25" spans="1:8" ht="34.5" customHeight="1" x14ac:dyDescent="0.25">
      <c r="A25" s="135" t="s">
        <v>36</v>
      </c>
      <c r="B25" s="12" t="s">
        <v>37</v>
      </c>
      <c r="C25" s="134" t="s">
        <v>24</v>
      </c>
      <c r="D25" s="131">
        <v>341.17099999999999</v>
      </c>
      <c r="E25" s="131">
        <v>195.98599999999999</v>
      </c>
      <c r="F25" s="133"/>
    </row>
    <row r="26" spans="1:8" ht="24.95" customHeight="1" x14ac:dyDescent="0.25">
      <c r="A26" s="135" t="s">
        <v>38</v>
      </c>
      <c r="B26" s="12" t="s">
        <v>39</v>
      </c>
      <c r="C26" s="134" t="s">
        <v>24</v>
      </c>
      <c r="D26" s="131">
        <v>502.05900000000003</v>
      </c>
      <c r="E26" s="131">
        <v>269.70499999999998</v>
      </c>
      <c r="F26" s="133"/>
    </row>
    <row r="27" spans="1:8" ht="24.95" customHeight="1" x14ac:dyDescent="0.25">
      <c r="A27" s="135" t="s">
        <v>40</v>
      </c>
      <c r="B27" s="21" t="s">
        <v>41</v>
      </c>
      <c r="C27" s="134" t="s">
        <v>24</v>
      </c>
      <c r="D27" s="131">
        <f>SUM(D28:D34)</f>
        <v>12107.757</v>
      </c>
      <c r="E27" s="24">
        <f>15459.236-269.705+2446.334</f>
        <v>17635.865000000002</v>
      </c>
      <c r="F27" s="133"/>
    </row>
    <row r="28" spans="1:8" ht="40.5" customHeight="1" x14ac:dyDescent="0.25">
      <c r="A28" s="135" t="s">
        <v>100</v>
      </c>
      <c r="B28" s="41" t="s">
        <v>101</v>
      </c>
      <c r="C28" s="135" t="s">
        <v>24</v>
      </c>
      <c r="D28" s="131">
        <v>1207.1369999999999</v>
      </c>
      <c r="E28" s="131">
        <f>3950.703+2446.334</f>
        <v>6397.0370000000003</v>
      </c>
      <c r="F28" s="133"/>
    </row>
    <row r="29" spans="1:8" ht="24.95" customHeight="1" x14ac:dyDescent="0.25">
      <c r="A29" s="135" t="s">
        <v>102</v>
      </c>
      <c r="B29" s="12" t="s">
        <v>103</v>
      </c>
      <c r="C29" s="135" t="s">
        <v>24</v>
      </c>
      <c r="D29" s="112">
        <f>1932.611-502.06</f>
        <v>1430.5510000000002</v>
      </c>
      <c r="E29" s="131">
        <f>828.287-269.705</f>
        <v>558.58200000000011</v>
      </c>
      <c r="F29" s="133"/>
    </row>
    <row r="30" spans="1:8" ht="24.95" customHeight="1" x14ac:dyDescent="0.25">
      <c r="A30" s="135" t="s">
        <v>107</v>
      </c>
      <c r="B30" s="12" t="s">
        <v>104</v>
      </c>
      <c r="C30" s="135" t="s">
        <v>24</v>
      </c>
      <c r="D30" s="131">
        <v>0</v>
      </c>
      <c r="E30" s="131">
        <v>55.067999999999998</v>
      </c>
      <c r="F30" s="133"/>
    </row>
    <row r="31" spans="1:8" ht="24.95" customHeight="1" x14ac:dyDescent="0.25">
      <c r="A31" s="135" t="s">
        <v>108</v>
      </c>
      <c r="B31" s="12" t="s">
        <v>105</v>
      </c>
      <c r="C31" s="135" t="s">
        <v>24</v>
      </c>
      <c r="D31" s="131">
        <v>111.839</v>
      </c>
      <c r="E31" s="131">
        <v>100.79</v>
      </c>
      <c r="F31" s="133"/>
    </row>
    <row r="32" spans="1:8" ht="34.5" customHeight="1" x14ac:dyDescent="0.25">
      <c r="A32" s="135" t="s">
        <v>109</v>
      </c>
      <c r="B32" s="22" t="s">
        <v>106</v>
      </c>
      <c r="C32" s="135" t="s">
        <v>24</v>
      </c>
      <c r="D32" s="131">
        <v>1579.8969999999999</v>
      </c>
      <c r="E32" s="131">
        <v>2719.86</v>
      </c>
      <c r="F32" s="133"/>
    </row>
    <row r="33" spans="1:7" ht="34.5" customHeight="1" x14ac:dyDescent="0.25">
      <c r="A33" s="135" t="s">
        <v>110</v>
      </c>
      <c r="B33" s="22" t="s">
        <v>112</v>
      </c>
      <c r="C33" s="135" t="s">
        <v>24</v>
      </c>
      <c r="D33" s="131">
        <v>268.68099999999998</v>
      </c>
      <c r="E33" s="131">
        <v>103.185</v>
      </c>
      <c r="F33" s="133"/>
    </row>
    <row r="34" spans="1:7" ht="24.95" customHeight="1" x14ac:dyDescent="0.25">
      <c r="A34" s="135" t="s">
        <v>111</v>
      </c>
      <c r="B34" s="12" t="s">
        <v>113</v>
      </c>
      <c r="C34" s="135" t="s">
        <v>24</v>
      </c>
      <c r="D34" s="131">
        <v>7509.652</v>
      </c>
      <c r="E34" s="131">
        <v>7701.3429999999998</v>
      </c>
      <c r="F34" s="133"/>
    </row>
    <row r="35" spans="1:7" ht="36.75" customHeight="1" x14ac:dyDescent="0.25">
      <c r="A35" s="20" t="s">
        <v>85</v>
      </c>
      <c r="B35" s="12" t="s">
        <v>42</v>
      </c>
      <c r="C35" s="134" t="s">
        <v>24</v>
      </c>
      <c r="D35" s="131"/>
      <c r="E35" s="28"/>
      <c r="F35" s="133"/>
    </row>
    <row r="36" spans="1:7" ht="24.95" customHeight="1" x14ac:dyDescent="0.25">
      <c r="A36" s="20" t="s">
        <v>86</v>
      </c>
      <c r="B36" s="12" t="s">
        <v>43</v>
      </c>
      <c r="C36" s="134" t="s">
        <v>24</v>
      </c>
      <c r="D36" s="131"/>
      <c r="E36" s="28"/>
      <c r="F36" s="133"/>
    </row>
    <row r="37" spans="1:7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95242.810999999987</v>
      </c>
      <c r="E37" s="24">
        <f>SUM(E38:E47)+E49+E50</f>
        <v>108158.336</v>
      </c>
      <c r="F37" s="25"/>
    </row>
    <row r="38" spans="1:7" ht="24.95" customHeight="1" x14ac:dyDescent="0.25">
      <c r="A38" s="20" t="s">
        <v>7</v>
      </c>
      <c r="B38" s="12" t="s">
        <v>45</v>
      </c>
      <c r="C38" s="134" t="s">
        <v>24</v>
      </c>
      <c r="D38" s="131"/>
      <c r="E38" s="37"/>
      <c r="F38" s="133"/>
    </row>
    <row r="39" spans="1:7" ht="33.75" customHeight="1" x14ac:dyDescent="0.25">
      <c r="A39" s="20" t="s">
        <v>8</v>
      </c>
      <c r="B39" s="12" t="s">
        <v>46</v>
      </c>
      <c r="C39" s="134" t="s">
        <v>24</v>
      </c>
      <c r="D39" s="131"/>
      <c r="E39" s="37"/>
      <c r="F39" s="133"/>
    </row>
    <row r="40" spans="1:7" ht="24.95" customHeight="1" x14ac:dyDescent="0.25">
      <c r="A40" s="20" t="s">
        <v>11</v>
      </c>
      <c r="B40" s="12" t="s">
        <v>47</v>
      </c>
      <c r="C40" s="134" t="s">
        <v>24</v>
      </c>
      <c r="D40" s="1">
        <v>28839.096000000001</v>
      </c>
      <c r="E40" s="114">
        <v>12943.013999999999</v>
      </c>
      <c r="F40" s="133"/>
    </row>
    <row r="41" spans="1:7" ht="24.95" customHeight="1" x14ac:dyDescent="0.25">
      <c r="A41" s="20" t="s">
        <v>12</v>
      </c>
      <c r="B41" s="12" t="s">
        <v>10</v>
      </c>
      <c r="C41" s="134" t="s">
        <v>24</v>
      </c>
      <c r="D41" s="1">
        <v>25562.062999999998</v>
      </c>
      <c r="E41" s="40">
        <v>28833.39</v>
      </c>
      <c r="F41" s="133"/>
    </row>
    <row r="42" spans="1:7" ht="36.75" customHeight="1" x14ac:dyDescent="0.25">
      <c r="A42" s="20" t="s">
        <v>14</v>
      </c>
      <c r="B42" s="12" t="s">
        <v>48</v>
      </c>
      <c r="C42" s="134" t="s">
        <v>24</v>
      </c>
      <c r="D42" s="131"/>
      <c r="E42" s="37"/>
      <c r="F42" s="133"/>
    </row>
    <row r="43" spans="1:7" ht="24.95" customHeight="1" x14ac:dyDescent="0.25">
      <c r="A43" s="20" t="s">
        <v>16</v>
      </c>
      <c r="B43" s="12" t="s">
        <v>49</v>
      </c>
      <c r="C43" s="134" t="s">
        <v>24</v>
      </c>
      <c r="D43" s="1">
        <v>9702.1049999999996</v>
      </c>
      <c r="E43" s="40">
        <v>50178.336000000003</v>
      </c>
      <c r="F43" s="133"/>
    </row>
    <row r="44" spans="1:7" ht="24.95" customHeight="1" x14ac:dyDescent="0.25">
      <c r="A44" s="20" t="s">
        <v>17</v>
      </c>
      <c r="B44" s="12" t="s">
        <v>50</v>
      </c>
      <c r="C44" s="134" t="s">
        <v>24</v>
      </c>
      <c r="D44" s="111">
        <v>17118</v>
      </c>
      <c r="E44" s="111"/>
      <c r="F44" s="55" t="s">
        <v>129</v>
      </c>
      <c r="G44" s="2"/>
    </row>
    <row r="45" spans="1:7" ht="24.95" customHeight="1" x14ac:dyDescent="0.25">
      <c r="A45" s="20" t="s">
        <v>88</v>
      </c>
      <c r="B45" s="12" t="s">
        <v>13</v>
      </c>
      <c r="C45" s="134" t="s">
        <v>24</v>
      </c>
      <c r="D45" s="1">
        <v>0</v>
      </c>
      <c r="E45" s="40"/>
      <c r="F45" s="133"/>
    </row>
    <row r="46" spans="1:7" ht="24.95" customHeight="1" x14ac:dyDescent="0.25">
      <c r="A46" s="20" t="s">
        <v>87</v>
      </c>
      <c r="B46" s="12" t="s">
        <v>15</v>
      </c>
      <c r="C46" s="134" t="s">
        <v>24</v>
      </c>
      <c r="D46" s="1">
        <v>1010.67</v>
      </c>
      <c r="E46" s="40">
        <v>8601.2260000000006</v>
      </c>
      <c r="F46" s="133"/>
    </row>
    <row r="47" spans="1:7" ht="54" customHeight="1" x14ac:dyDescent="0.25">
      <c r="A47" s="20" t="s">
        <v>89</v>
      </c>
      <c r="B47" s="12" t="s">
        <v>51</v>
      </c>
      <c r="C47" s="135" t="s">
        <v>24</v>
      </c>
      <c r="D47" s="1">
        <v>10197.25</v>
      </c>
      <c r="E47" s="75">
        <v>4732.3720000000003</v>
      </c>
      <c r="F47" s="133"/>
    </row>
    <row r="48" spans="1:7" ht="24.95" customHeight="1" x14ac:dyDescent="0.25">
      <c r="A48" s="135" t="s">
        <v>52</v>
      </c>
      <c r="B48" s="12" t="s">
        <v>53</v>
      </c>
      <c r="C48" s="134" t="s">
        <v>54</v>
      </c>
      <c r="D48" s="42">
        <v>85</v>
      </c>
      <c r="E48" s="132"/>
      <c r="F48" s="133"/>
    </row>
    <row r="49" spans="1:9" ht="93" customHeight="1" x14ac:dyDescent="0.25">
      <c r="A49" s="20" t="s">
        <v>90</v>
      </c>
      <c r="B49" s="12" t="s">
        <v>55</v>
      </c>
      <c r="C49" s="135" t="s">
        <v>24</v>
      </c>
      <c r="D49" s="131"/>
      <c r="E49" s="37"/>
      <c r="F49" s="133"/>
    </row>
    <row r="50" spans="1:9" ht="24.95" customHeight="1" x14ac:dyDescent="0.25">
      <c r="A50" s="20" t="s">
        <v>91</v>
      </c>
      <c r="B50" s="12" t="s">
        <v>122</v>
      </c>
      <c r="C50" s="135" t="s">
        <v>24</v>
      </c>
      <c r="D50" s="1">
        <v>2813.627</v>
      </c>
      <c r="E50" s="40">
        <v>2869.998</v>
      </c>
      <c r="F50" s="133"/>
    </row>
    <row r="51" spans="1:9" ht="39" customHeight="1" x14ac:dyDescent="0.25">
      <c r="A51" s="129" t="s">
        <v>92</v>
      </c>
      <c r="B51" s="12" t="s">
        <v>56</v>
      </c>
      <c r="C51" s="135" t="s">
        <v>24</v>
      </c>
      <c r="D51" s="132">
        <v>25021.475999999999</v>
      </c>
      <c r="E51" s="37"/>
      <c r="F51" s="133"/>
    </row>
    <row r="52" spans="1:9" ht="48.75" customHeight="1" x14ac:dyDescent="0.25">
      <c r="A52" s="129" t="s">
        <v>139</v>
      </c>
      <c r="B52" s="12" t="s">
        <v>140</v>
      </c>
      <c r="C52" s="135" t="s">
        <v>24</v>
      </c>
      <c r="D52" s="132">
        <v>5851.393</v>
      </c>
      <c r="E52" s="132">
        <v>1725.566</v>
      </c>
      <c r="F52" s="133"/>
    </row>
    <row r="53" spans="1:9" ht="48.75" customHeight="1" x14ac:dyDescent="0.25">
      <c r="A53" s="129" t="s">
        <v>145</v>
      </c>
      <c r="B53" s="127" t="s">
        <v>146</v>
      </c>
      <c r="C53" s="135" t="s">
        <v>24</v>
      </c>
      <c r="D53" s="131">
        <v>-56436.65</v>
      </c>
      <c r="E53" s="132"/>
      <c r="F53" s="133"/>
    </row>
    <row r="54" spans="1:9" ht="44.25" customHeight="1" x14ac:dyDescent="0.25">
      <c r="A54" s="135" t="s">
        <v>57</v>
      </c>
      <c r="B54" s="12" t="s">
        <v>114</v>
      </c>
      <c r="C54" s="135" t="s">
        <v>24</v>
      </c>
      <c r="D54" s="131">
        <f>D16+D18+D23+D28</f>
        <v>1207.1369999999999</v>
      </c>
      <c r="E54" s="131">
        <f>E16+E18+E23+E28</f>
        <v>6397.0370000000003</v>
      </c>
      <c r="F54" s="133"/>
      <c r="G54" s="2"/>
      <c r="H54" s="2"/>
      <c r="I54" s="2"/>
    </row>
    <row r="55" spans="1:9" ht="39" customHeight="1" x14ac:dyDescent="0.25">
      <c r="A55" s="135" t="s">
        <v>58</v>
      </c>
      <c r="B55" s="13" t="s">
        <v>59</v>
      </c>
      <c r="C55" s="14" t="s">
        <v>24</v>
      </c>
      <c r="D55" s="24">
        <v>22691.606</v>
      </c>
      <c r="E55" s="24">
        <v>40699.328000000001</v>
      </c>
      <c r="F55" s="15"/>
    </row>
    <row r="56" spans="1:9" ht="24.95" customHeight="1" x14ac:dyDescent="0.25">
      <c r="A56" s="152" t="s">
        <v>2</v>
      </c>
      <c r="B56" s="12" t="s">
        <v>60</v>
      </c>
      <c r="C56" s="150" t="s">
        <v>62</v>
      </c>
      <c r="D56" s="156">
        <v>10742</v>
      </c>
      <c r="E56" s="157">
        <v>15093.271000000001</v>
      </c>
      <c r="F56" s="155"/>
    </row>
    <row r="57" spans="1:9" ht="24.95" customHeight="1" x14ac:dyDescent="0.25">
      <c r="A57" s="152"/>
      <c r="B57" s="12" t="s">
        <v>61</v>
      </c>
      <c r="C57" s="151"/>
      <c r="D57" s="156"/>
      <c r="E57" s="157"/>
      <c r="F57" s="155"/>
    </row>
    <row r="58" spans="1:9" ht="24.95" customHeight="1" x14ac:dyDescent="0.25">
      <c r="A58" s="152" t="s">
        <v>6</v>
      </c>
      <c r="B58" s="12" t="s">
        <v>60</v>
      </c>
      <c r="C58" s="153" t="s">
        <v>115</v>
      </c>
      <c r="D58" s="154">
        <f>D55/D56*1000</f>
        <v>2112.4191025879722</v>
      </c>
      <c r="E58" s="154">
        <f>E55/E56*1000</f>
        <v>2696.5213836020039</v>
      </c>
      <c r="F58" s="155"/>
    </row>
    <row r="59" spans="1:9" ht="37.5" customHeight="1" x14ac:dyDescent="0.25">
      <c r="A59" s="152"/>
      <c r="B59" s="12" t="s">
        <v>63</v>
      </c>
      <c r="C59" s="153"/>
      <c r="D59" s="154"/>
      <c r="E59" s="154"/>
      <c r="F59" s="155"/>
    </row>
    <row r="60" spans="1:9" ht="53.25" customHeight="1" x14ac:dyDescent="0.25">
      <c r="A60" s="135" t="s">
        <v>64</v>
      </c>
      <c r="B60" s="12" t="s">
        <v>65</v>
      </c>
      <c r="C60" s="135" t="s">
        <v>22</v>
      </c>
      <c r="D60" s="135" t="s">
        <v>22</v>
      </c>
      <c r="E60" s="135" t="s">
        <v>22</v>
      </c>
      <c r="F60" s="135" t="s">
        <v>22</v>
      </c>
    </row>
    <row r="61" spans="1:9" ht="29.25" customHeight="1" x14ac:dyDescent="0.25">
      <c r="A61" s="36">
        <v>1</v>
      </c>
      <c r="B61" s="13" t="s">
        <v>134</v>
      </c>
      <c r="C61" s="14" t="s">
        <v>66</v>
      </c>
      <c r="D61" s="90">
        <v>4201</v>
      </c>
      <c r="E61" s="90">
        <v>4163</v>
      </c>
      <c r="F61" s="15"/>
    </row>
    <row r="62" spans="1:9" ht="24.95" customHeight="1" x14ac:dyDescent="0.25">
      <c r="A62" s="36">
        <v>2</v>
      </c>
      <c r="B62" s="13" t="s">
        <v>67</v>
      </c>
      <c r="C62" s="14" t="s">
        <v>68</v>
      </c>
      <c r="D62" s="24">
        <v>122.425</v>
      </c>
      <c r="E62" s="24">
        <v>123.765</v>
      </c>
      <c r="F62" s="15"/>
    </row>
    <row r="63" spans="1:9" ht="24.95" customHeight="1" x14ac:dyDescent="0.25">
      <c r="A63" s="135"/>
      <c r="B63" s="135" t="s">
        <v>116</v>
      </c>
      <c r="C63" s="135" t="s">
        <v>68</v>
      </c>
      <c r="D63" s="132">
        <v>20</v>
      </c>
      <c r="E63" s="132">
        <v>20</v>
      </c>
      <c r="F63" s="132"/>
    </row>
    <row r="64" spans="1:9" ht="37.5" customHeight="1" x14ac:dyDescent="0.25">
      <c r="A64" s="135"/>
      <c r="B64" s="135" t="s">
        <v>117</v>
      </c>
      <c r="C64" s="135" t="s">
        <v>68</v>
      </c>
      <c r="D64" s="131">
        <f>D62-D63</f>
        <v>102.425</v>
      </c>
      <c r="E64" s="131">
        <f>E62-E63</f>
        <v>103.765</v>
      </c>
      <c r="F64" s="132"/>
    </row>
    <row r="65" spans="1:10" ht="24.95" customHeight="1" x14ac:dyDescent="0.25">
      <c r="A65" s="36">
        <v>3</v>
      </c>
      <c r="B65" s="13" t="s">
        <v>69</v>
      </c>
      <c r="C65" s="14" t="s">
        <v>70</v>
      </c>
      <c r="D65" s="24">
        <f>D66+D67+D68</f>
        <v>1082.104</v>
      </c>
      <c r="E65" s="24">
        <f>E66+E67+E68</f>
        <v>1096.758</v>
      </c>
      <c r="F65" s="133"/>
      <c r="G65" s="2"/>
    </row>
    <row r="66" spans="1:10" ht="35.25" customHeight="1" x14ac:dyDescent="0.25">
      <c r="A66" s="135"/>
      <c r="B66" s="135" t="s">
        <v>116</v>
      </c>
      <c r="C66" s="135" t="s">
        <v>70</v>
      </c>
      <c r="D66" s="131">
        <v>12.315</v>
      </c>
      <c r="E66" s="131">
        <v>12.315</v>
      </c>
      <c r="F66" s="132"/>
    </row>
    <row r="67" spans="1:10" ht="35.25" customHeight="1" x14ac:dyDescent="0.25">
      <c r="A67" s="135"/>
      <c r="B67" s="135" t="s">
        <v>117</v>
      </c>
      <c r="C67" s="135" t="s">
        <v>70</v>
      </c>
      <c r="D67" s="131">
        <v>619.01800000000003</v>
      </c>
      <c r="E67" s="131">
        <v>623.88499999999999</v>
      </c>
      <c r="F67" s="132"/>
    </row>
    <row r="68" spans="1:10" ht="35.25" customHeight="1" x14ac:dyDescent="0.25">
      <c r="A68" s="135"/>
      <c r="B68" s="135" t="s">
        <v>118</v>
      </c>
      <c r="C68" s="135" t="s">
        <v>70</v>
      </c>
      <c r="D68" s="131">
        <v>450.77100000000002</v>
      </c>
      <c r="E68" s="131">
        <v>460.55799999999999</v>
      </c>
      <c r="F68" s="132"/>
      <c r="G68" s="2"/>
    </row>
    <row r="69" spans="1:10" ht="24.95" customHeight="1" x14ac:dyDescent="0.25">
      <c r="A69" s="36">
        <v>4</v>
      </c>
      <c r="B69" s="13" t="s">
        <v>71</v>
      </c>
      <c r="C69" s="14" t="s">
        <v>70</v>
      </c>
      <c r="D69" s="38">
        <f>D70+D71+D72</f>
        <v>2030.2</v>
      </c>
      <c r="E69" s="38">
        <f>E70+E71+E72</f>
        <v>2110.4</v>
      </c>
      <c r="F69" s="133"/>
    </row>
    <row r="70" spans="1:10" ht="24.95" customHeight="1" x14ac:dyDescent="0.25">
      <c r="A70" s="135"/>
      <c r="B70" s="26" t="s">
        <v>116</v>
      </c>
      <c r="C70" s="134" t="s">
        <v>70</v>
      </c>
      <c r="D70" s="136">
        <v>92</v>
      </c>
      <c r="E70" s="136">
        <v>92</v>
      </c>
      <c r="F70" s="133"/>
    </row>
    <row r="71" spans="1:10" ht="24.95" customHeight="1" x14ac:dyDescent="0.25">
      <c r="A71" s="135"/>
      <c r="B71" s="26" t="s">
        <v>117</v>
      </c>
      <c r="C71" s="134" t="s">
        <v>70</v>
      </c>
      <c r="D71" s="131">
        <v>1938.2</v>
      </c>
      <c r="E71" s="136">
        <v>2018.4</v>
      </c>
      <c r="F71" s="133"/>
    </row>
    <row r="72" spans="1:10" ht="24.95" customHeight="1" x14ac:dyDescent="0.25">
      <c r="A72" s="135"/>
      <c r="B72" s="26" t="s">
        <v>118</v>
      </c>
      <c r="C72" s="134" t="s">
        <v>70</v>
      </c>
      <c r="D72" s="132"/>
      <c r="E72" s="132"/>
      <c r="F72" s="133"/>
    </row>
    <row r="73" spans="1:10" ht="24.95" customHeight="1" x14ac:dyDescent="0.25">
      <c r="A73" s="36">
        <v>5</v>
      </c>
      <c r="B73" s="13" t="s">
        <v>72</v>
      </c>
      <c r="C73" s="14" t="s">
        <v>73</v>
      </c>
      <c r="D73" s="24">
        <f>D75+D76+D74</f>
        <v>408.87399999999997</v>
      </c>
      <c r="E73" s="24">
        <f>E75+E76+E74</f>
        <v>409.76499999999999</v>
      </c>
      <c r="F73" s="133"/>
    </row>
    <row r="74" spans="1:10" ht="24.95" customHeight="1" x14ac:dyDescent="0.25">
      <c r="A74" s="135"/>
      <c r="B74" s="26" t="s">
        <v>116</v>
      </c>
      <c r="C74" s="134" t="s">
        <v>73</v>
      </c>
      <c r="D74" s="132">
        <v>7.2</v>
      </c>
      <c r="E74" s="132">
        <v>7.2</v>
      </c>
      <c r="F74" s="133"/>
    </row>
    <row r="75" spans="1:10" ht="24.95" customHeight="1" x14ac:dyDescent="0.25">
      <c r="A75" s="135"/>
      <c r="B75" s="26" t="s">
        <v>117</v>
      </c>
      <c r="C75" s="134" t="s">
        <v>73</v>
      </c>
      <c r="D75" s="131">
        <f>84.38+143.526</f>
        <v>227.90600000000001</v>
      </c>
      <c r="E75" s="131">
        <v>228.61099999999999</v>
      </c>
      <c r="F75" s="132"/>
    </row>
    <row r="76" spans="1:10" ht="24.95" customHeight="1" x14ac:dyDescent="0.25">
      <c r="A76" s="135"/>
      <c r="B76" s="26" t="s">
        <v>118</v>
      </c>
      <c r="C76" s="134" t="s">
        <v>73</v>
      </c>
      <c r="D76" s="131">
        <f>29.817+143.951</f>
        <v>173.768</v>
      </c>
      <c r="E76" s="131">
        <v>173.95400000000001</v>
      </c>
      <c r="F76" s="132"/>
    </row>
    <row r="77" spans="1:10" ht="24.95" customHeight="1" x14ac:dyDescent="0.25">
      <c r="A77" s="36">
        <v>6</v>
      </c>
      <c r="B77" s="13" t="s">
        <v>74</v>
      </c>
      <c r="C77" s="14" t="s">
        <v>75</v>
      </c>
      <c r="D77" s="92">
        <f>(143.526+143.951)/D73*100</f>
        <v>70.309435180520168</v>
      </c>
      <c r="E77" s="92">
        <f>287.743/E73*100</f>
        <v>70.221468402621014</v>
      </c>
      <c r="F77" s="15"/>
    </row>
    <row r="78" spans="1:10" ht="38.25" customHeight="1" x14ac:dyDescent="0.25">
      <c r="A78" s="135">
        <v>7</v>
      </c>
      <c r="B78" s="12" t="s">
        <v>76</v>
      </c>
      <c r="C78" s="135" t="s">
        <v>24</v>
      </c>
      <c r="D78" s="37"/>
      <c r="E78" s="131">
        <v>14660.353999999999</v>
      </c>
      <c r="F78" s="19"/>
      <c r="J78" s="2"/>
    </row>
    <row r="79" spans="1:10" ht="38.25" customHeight="1" x14ac:dyDescent="0.25">
      <c r="A79" s="135">
        <v>8</v>
      </c>
      <c r="B79" s="12" t="s">
        <v>141</v>
      </c>
      <c r="C79" s="135" t="s">
        <v>24</v>
      </c>
      <c r="D79" s="37"/>
      <c r="E79" s="93">
        <v>1340.502</v>
      </c>
      <c r="F79" s="19"/>
      <c r="G79" s="2"/>
    </row>
    <row r="80" spans="1:10" ht="41.25" customHeight="1" x14ac:dyDescent="0.25">
      <c r="A80" s="27">
        <v>9</v>
      </c>
      <c r="B80" s="132" t="s">
        <v>123</v>
      </c>
      <c r="C80" s="135" t="s">
        <v>75</v>
      </c>
      <c r="D80" s="135" t="s">
        <v>93</v>
      </c>
      <c r="E80" s="135" t="s">
        <v>93</v>
      </c>
      <c r="F80" s="135" t="s">
        <v>93</v>
      </c>
      <c r="J80" s="2"/>
    </row>
    <row r="81" spans="1:6" ht="15.75" x14ac:dyDescent="0.25">
      <c r="A81" s="3"/>
      <c r="B81" s="3"/>
      <c r="C81" s="3"/>
      <c r="D81" s="3"/>
      <c r="E81" s="3"/>
      <c r="F81" s="3"/>
    </row>
    <row r="82" spans="1:6" s="11" customFormat="1" ht="16.5" customHeight="1" x14ac:dyDescent="0.25">
      <c r="B82" s="128" t="s">
        <v>94</v>
      </c>
    </row>
    <row r="83" spans="1:6" s="11" customFormat="1" ht="57.75" customHeight="1" x14ac:dyDescent="0.25">
      <c r="B83" s="158" t="s">
        <v>95</v>
      </c>
      <c r="C83" s="158"/>
      <c r="D83" s="158"/>
      <c r="E83" s="158"/>
      <c r="F83" s="158"/>
    </row>
    <row r="84" spans="1:6" s="11" customFormat="1" ht="30.75" customHeight="1" x14ac:dyDescent="0.25">
      <c r="B84" s="158" t="s">
        <v>96</v>
      </c>
      <c r="C84" s="158"/>
      <c r="D84" s="158"/>
      <c r="E84" s="158"/>
      <c r="F84" s="158"/>
    </row>
    <row r="85" spans="1:6" s="11" customFormat="1" ht="33.75" customHeight="1" x14ac:dyDescent="0.25">
      <c r="B85" s="159" t="s">
        <v>97</v>
      </c>
      <c r="C85" s="159"/>
      <c r="D85" s="159"/>
      <c r="E85" s="159"/>
      <c r="F85" s="159"/>
    </row>
    <row r="86" spans="1:6" s="11" customFormat="1" ht="34.5" customHeight="1" x14ac:dyDescent="0.25">
      <c r="B86" s="158" t="s">
        <v>98</v>
      </c>
      <c r="C86" s="158"/>
      <c r="D86" s="158"/>
      <c r="E86" s="158"/>
      <c r="F86" s="158"/>
    </row>
    <row r="87" spans="1:6" s="11" customFormat="1" ht="31.5" customHeight="1" x14ac:dyDescent="0.25">
      <c r="B87" s="158" t="s">
        <v>99</v>
      </c>
      <c r="C87" s="158"/>
      <c r="D87" s="158"/>
      <c r="E87" s="158"/>
      <c r="F87" s="158"/>
    </row>
    <row r="88" spans="1:6" x14ac:dyDescent="0.25">
      <c r="B88" s="10"/>
    </row>
  </sheetData>
  <mergeCells count="22">
    <mergeCell ref="B83:F83"/>
    <mergeCell ref="B84:F84"/>
    <mergeCell ref="B85:F85"/>
    <mergeCell ref="B86:F86"/>
    <mergeCell ref="B87:F87"/>
    <mergeCell ref="A56:A57"/>
    <mergeCell ref="C56:C57"/>
    <mergeCell ref="D56:D57"/>
    <mergeCell ref="E56:E57"/>
    <mergeCell ref="F56:F57"/>
    <mergeCell ref="A58:A59"/>
    <mergeCell ref="C58:C59"/>
    <mergeCell ref="D58:D59"/>
    <mergeCell ref="E58:E59"/>
    <mergeCell ref="F58:F59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5" location="Par395" tooltip="Примечание &lt;***&gt;" display="Par395"/>
  </hyperlinks>
  <pageMargins left="0.7" right="0.7" top="0.75" bottom="0.75" header="0.3" footer="0.3"/>
  <pageSetup paperSize="9" scale="6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87"/>
  <sheetViews>
    <sheetView view="pageBreakPreview" zoomScale="76" zoomScaleSheetLayoutView="76" workbookViewId="0">
      <selection activeCell="H11" sqref="H11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5" width="16.7109375" customWidth="1"/>
    <col min="6" max="6" width="16.7109375" hidden="1" customWidth="1"/>
    <col min="7" max="7" width="14.7109375" customWidth="1"/>
    <col min="8" max="8" width="14.5703125" customWidth="1"/>
    <col min="10" max="10" width="9.28515625" bestFit="1" customWidth="1"/>
  </cols>
  <sheetData>
    <row r="1" spans="1:10" ht="15.75" x14ac:dyDescent="0.25">
      <c r="A1" s="3"/>
      <c r="B1" s="3"/>
      <c r="C1" s="3" t="s">
        <v>77</v>
      </c>
      <c r="D1" s="3"/>
      <c r="E1" s="3"/>
      <c r="F1" s="3"/>
    </row>
    <row r="2" spans="1:10" ht="51" customHeight="1" x14ac:dyDescent="0.25">
      <c r="A2" s="3"/>
      <c r="B2" s="3"/>
      <c r="C2" s="145" t="s">
        <v>78</v>
      </c>
      <c r="D2" s="145"/>
      <c r="E2" s="145"/>
      <c r="F2" s="145"/>
    </row>
    <row r="3" spans="1:10" ht="69.75" customHeight="1" x14ac:dyDescent="0.25">
      <c r="A3" s="146" t="s">
        <v>79</v>
      </c>
      <c r="B3" s="146"/>
      <c r="C3" s="146"/>
      <c r="D3" s="146"/>
      <c r="E3" s="146"/>
      <c r="F3" s="146"/>
    </row>
    <row r="4" spans="1:10" ht="38.25" customHeight="1" x14ac:dyDescent="0.3">
      <c r="A4" s="6" t="s">
        <v>80</v>
      </c>
      <c r="B4" s="6"/>
      <c r="C4" s="7"/>
      <c r="D4" s="5"/>
      <c r="E4" s="5"/>
      <c r="F4" s="5"/>
    </row>
    <row r="5" spans="1:10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0" ht="19.5" customHeight="1" x14ac:dyDescent="0.3">
      <c r="A6" s="8" t="s">
        <v>82</v>
      </c>
      <c r="B6" s="8" t="s">
        <v>142</v>
      </c>
      <c r="C6" s="9"/>
      <c r="D6" s="4"/>
      <c r="E6" s="4"/>
      <c r="F6" s="4"/>
    </row>
    <row r="7" spans="1:10" ht="19.5" customHeight="1" x14ac:dyDescent="0.3">
      <c r="A7" s="8" t="s">
        <v>131</v>
      </c>
      <c r="B7" s="8"/>
      <c r="C7" s="9"/>
      <c r="D7" s="35"/>
      <c r="E7" s="4"/>
      <c r="F7" s="4"/>
    </row>
    <row r="8" spans="1:10" ht="15.75" x14ac:dyDescent="0.25">
      <c r="A8" s="3"/>
      <c r="B8" s="3"/>
      <c r="C8" s="3"/>
      <c r="D8" s="3"/>
      <c r="E8" s="3"/>
      <c r="F8" s="3"/>
    </row>
    <row r="9" spans="1:10" ht="15.75" x14ac:dyDescent="0.25">
      <c r="A9" s="147" t="s">
        <v>18</v>
      </c>
      <c r="B9" s="147" t="s">
        <v>0</v>
      </c>
      <c r="C9" s="147" t="s">
        <v>19</v>
      </c>
      <c r="D9" s="160" t="s">
        <v>138</v>
      </c>
      <c r="E9" s="161"/>
      <c r="F9" s="150" t="s">
        <v>1</v>
      </c>
    </row>
    <row r="10" spans="1:10" ht="42.75" customHeight="1" x14ac:dyDescent="0.25">
      <c r="A10" s="147"/>
      <c r="B10" s="147"/>
      <c r="C10" s="147"/>
      <c r="D10" s="95" t="s">
        <v>124</v>
      </c>
      <c r="E10" s="95" t="s">
        <v>84</v>
      </c>
      <c r="F10" s="151"/>
    </row>
    <row r="11" spans="1:10" ht="24.75" customHeight="1" x14ac:dyDescent="0.25">
      <c r="A11" s="97" t="s">
        <v>20</v>
      </c>
      <c r="B11" s="12" t="s">
        <v>21</v>
      </c>
      <c r="C11" s="97" t="s">
        <v>22</v>
      </c>
      <c r="D11" s="97" t="s">
        <v>22</v>
      </c>
      <c r="E11" s="97" t="s">
        <v>22</v>
      </c>
      <c r="F11" s="97" t="s">
        <v>22</v>
      </c>
      <c r="G11" s="53"/>
      <c r="H11" s="53"/>
    </row>
    <row r="12" spans="1:10" ht="30" customHeight="1" x14ac:dyDescent="0.25">
      <c r="A12" s="97">
        <v>1</v>
      </c>
      <c r="B12" s="13" t="s">
        <v>23</v>
      </c>
      <c r="C12" s="14" t="s">
        <v>24</v>
      </c>
      <c r="D12" s="24">
        <f>D13+D37+D51+D52</f>
        <v>164307.31200000003</v>
      </c>
      <c r="E12" s="24">
        <f>E13+E37+E51+E52</f>
        <v>212017.20800000004</v>
      </c>
      <c r="F12" s="15"/>
      <c r="G12" s="63"/>
      <c r="H12" s="63"/>
      <c r="I12" s="60"/>
      <c r="J12" s="2"/>
    </row>
    <row r="13" spans="1:10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99113.142999999996</v>
      </c>
      <c r="E13" s="24">
        <f>E14+E19+E24+E35+E36</f>
        <v>116547.641</v>
      </c>
      <c r="F13" s="15"/>
      <c r="G13" s="2"/>
      <c r="H13" s="61"/>
    </row>
    <row r="14" spans="1:10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3380.7159999999999</v>
      </c>
      <c r="E14" s="24">
        <f>E15+E17</f>
        <v>3659.3119999999999</v>
      </c>
      <c r="F14" s="15"/>
      <c r="G14" s="2"/>
      <c r="H14" s="2"/>
    </row>
    <row r="15" spans="1:10" ht="24.95" customHeight="1" x14ac:dyDescent="0.25">
      <c r="A15" s="97" t="s">
        <v>27</v>
      </c>
      <c r="B15" s="12" t="s">
        <v>28</v>
      </c>
      <c r="C15" s="97" t="s">
        <v>24</v>
      </c>
      <c r="D15" s="99">
        <v>3238.8359999999998</v>
      </c>
      <c r="E15" s="99">
        <v>2679.8290000000002</v>
      </c>
      <c r="F15" s="98"/>
      <c r="H15" s="2"/>
    </row>
    <row r="16" spans="1:10" ht="19.5" customHeight="1" x14ac:dyDescent="0.25">
      <c r="A16" s="97" t="s">
        <v>29</v>
      </c>
      <c r="B16" s="26" t="s">
        <v>33</v>
      </c>
      <c r="C16" s="97" t="s">
        <v>24</v>
      </c>
      <c r="D16" s="113"/>
      <c r="E16" s="113"/>
      <c r="F16" s="98"/>
      <c r="G16" s="2"/>
      <c r="H16" s="2"/>
      <c r="I16" s="2"/>
    </row>
    <row r="17" spans="1:8" ht="51" customHeight="1" x14ac:dyDescent="0.25">
      <c r="A17" s="97" t="s">
        <v>30</v>
      </c>
      <c r="B17" s="12" t="s">
        <v>31</v>
      </c>
      <c r="C17" s="97" t="s">
        <v>24</v>
      </c>
      <c r="D17" s="104">
        <v>141.88</v>
      </c>
      <c r="E17" s="104">
        <v>979.48299999999995</v>
      </c>
      <c r="F17" s="98"/>
      <c r="H17" s="2"/>
    </row>
    <row r="18" spans="1:8" ht="24.95" customHeight="1" x14ac:dyDescent="0.25">
      <c r="A18" s="97" t="s">
        <v>32</v>
      </c>
      <c r="B18" s="26" t="s">
        <v>33</v>
      </c>
      <c r="C18" s="97" t="s">
        <v>24</v>
      </c>
      <c r="D18" s="113"/>
      <c r="E18" s="113"/>
      <c r="F18" s="98"/>
      <c r="H18" s="2"/>
    </row>
    <row r="19" spans="1:8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83157.654999999999</v>
      </c>
      <c r="E19" s="24">
        <f>E20+E21+E22</f>
        <v>86529.205000000002</v>
      </c>
      <c r="F19" s="15"/>
      <c r="G19" s="62"/>
      <c r="H19" s="62"/>
    </row>
    <row r="20" spans="1:8" ht="24.95" hidden="1" customHeight="1" outlineLevel="1" x14ac:dyDescent="0.25">
      <c r="A20" s="29"/>
      <c r="B20" s="30" t="s">
        <v>119</v>
      </c>
      <c r="C20" s="31" t="s">
        <v>24</v>
      </c>
      <c r="D20" s="32">
        <f>83157.655-1205.055-1.738</f>
        <v>81950.862000000008</v>
      </c>
      <c r="E20" s="32">
        <f>86529.205-1253.095-462.25</f>
        <v>84813.86</v>
      </c>
      <c r="F20" s="33"/>
    </row>
    <row r="21" spans="1:8" ht="24.95" hidden="1" customHeight="1" outlineLevel="1" x14ac:dyDescent="0.25">
      <c r="A21" s="29"/>
      <c r="B21" s="30" t="s">
        <v>120</v>
      </c>
      <c r="C21" s="31" t="s">
        <v>24</v>
      </c>
      <c r="D21" s="32">
        <v>1205.0550000000001</v>
      </c>
      <c r="E21" s="32">
        <v>1253.095</v>
      </c>
      <c r="F21" s="34"/>
    </row>
    <row r="22" spans="1:8" ht="24.95" hidden="1" customHeight="1" outlineLevel="1" x14ac:dyDescent="0.25">
      <c r="A22" s="29"/>
      <c r="B22" s="30" t="s">
        <v>121</v>
      </c>
      <c r="C22" s="31" t="s">
        <v>24</v>
      </c>
      <c r="D22" s="32">
        <v>1.738</v>
      </c>
      <c r="E22" s="32">
        <v>462.25</v>
      </c>
      <c r="F22" s="34"/>
    </row>
    <row r="23" spans="1:8" ht="24.95" customHeight="1" collapsed="1" x14ac:dyDescent="0.25">
      <c r="A23" s="94" t="s">
        <v>34</v>
      </c>
      <c r="B23" s="26" t="s">
        <v>33</v>
      </c>
      <c r="C23" s="97" t="s">
        <v>24</v>
      </c>
      <c r="D23" s="99"/>
      <c r="E23" s="99"/>
      <c r="F23" s="98"/>
    </row>
    <row r="24" spans="1:8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12574.772000000001</v>
      </c>
      <c r="E24" s="24">
        <f>E25+E26+E27</f>
        <v>26359.124000000003</v>
      </c>
      <c r="F24" s="98"/>
    </row>
    <row r="25" spans="1:8" ht="34.5" customHeight="1" x14ac:dyDescent="0.25">
      <c r="A25" s="94" t="s">
        <v>36</v>
      </c>
      <c r="B25" s="12" t="s">
        <v>37</v>
      </c>
      <c r="C25" s="97" t="s">
        <v>24</v>
      </c>
      <c r="D25" s="99">
        <v>331.26</v>
      </c>
      <c r="E25" s="99">
        <v>168.369</v>
      </c>
      <c r="F25" s="98"/>
    </row>
    <row r="26" spans="1:8" ht="24.95" customHeight="1" x14ac:dyDescent="0.25">
      <c r="A26" s="94" t="s">
        <v>38</v>
      </c>
      <c r="B26" s="12" t="s">
        <v>39</v>
      </c>
      <c r="C26" s="97" t="s">
        <v>24</v>
      </c>
      <c r="D26" s="104">
        <v>487.47500000000002</v>
      </c>
      <c r="E26" s="104">
        <v>611.57000000000005</v>
      </c>
      <c r="F26" s="98"/>
    </row>
    <row r="27" spans="1:8" ht="24.95" customHeight="1" x14ac:dyDescent="0.25">
      <c r="A27" s="94" t="s">
        <v>40</v>
      </c>
      <c r="B27" s="21" t="s">
        <v>41</v>
      </c>
      <c r="C27" s="97" t="s">
        <v>24</v>
      </c>
      <c r="D27" s="99">
        <f>SUM(D28:D34)</f>
        <v>11756.037</v>
      </c>
      <c r="E27" s="99">
        <f>SUM(E28:E34)</f>
        <v>25579.185000000005</v>
      </c>
      <c r="F27" s="98"/>
    </row>
    <row r="28" spans="1:8" ht="40.5" customHeight="1" x14ac:dyDescent="0.25">
      <c r="A28" s="94" t="s">
        <v>100</v>
      </c>
      <c r="B28" s="41" t="s">
        <v>101</v>
      </c>
      <c r="C28" s="94" t="s">
        <v>24</v>
      </c>
      <c r="D28" s="99">
        <v>1172.0709999999999</v>
      </c>
      <c r="E28" s="99">
        <v>11102.003000000001</v>
      </c>
      <c r="F28" s="98"/>
    </row>
    <row r="29" spans="1:8" ht="24.95" customHeight="1" x14ac:dyDescent="0.25">
      <c r="A29" s="94" t="s">
        <v>102</v>
      </c>
      <c r="B29" s="12" t="s">
        <v>103</v>
      </c>
      <c r="C29" s="94" t="s">
        <v>24</v>
      </c>
      <c r="D29" s="112">
        <f>562.29+588.312+238.393</f>
        <v>1388.9949999999999</v>
      </c>
      <c r="E29" s="104">
        <f>152.491+634.619+311.891+151.667</f>
        <v>1250.6679999999999</v>
      </c>
      <c r="F29" s="98"/>
    </row>
    <row r="30" spans="1:8" ht="24.95" customHeight="1" x14ac:dyDescent="0.25">
      <c r="A30" s="94" t="s">
        <v>107</v>
      </c>
      <c r="B30" s="12" t="s">
        <v>104</v>
      </c>
      <c r="C30" s="94" t="s">
        <v>24</v>
      </c>
      <c r="D30" s="99">
        <v>0</v>
      </c>
      <c r="E30" s="99">
        <v>0</v>
      </c>
      <c r="F30" s="98"/>
    </row>
    <row r="31" spans="1:8" ht="24.95" customHeight="1" x14ac:dyDescent="0.25">
      <c r="A31" s="94" t="s">
        <v>108</v>
      </c>
      <c r="B31" s="12" t="s">
        <v>105</v>
      </c>
      <c r="C31" s="94" t="s">
        <v>24</v>
      </c>
      <c r="D31" s="99">
        <v>108.59</v>
      </c>
      <c r="E31" s="99">
        <v>82.042000000000002</v>
      </c>
      <c r="F31" s="98"/>
    </row>
    <row r="32" spans="1:8" ht="34.5" customHeight="1" x14ac:dyDescent="0.25">
      <c r="A32" s="94" t="s">
        <v>109</v>
      </c>
      <c r="B32" s="22" t="s">
        <v>106</v>
      </c>
      <c r="C32" s="94" t="s">
        <v>24</v>
      </c>
      <c r="D32" s="99">
        <v>1534.002</v>
      </c>
      <c r="E32" s="99">
        <v>2984.2159999999999</v>
      </c>
      <c r="F32" s="98"/>
    </row>
    <row r="33" spans="1:7" ht="34.5" customHeight="1" x14ac:dyDescent="0.25">
      <c r="A33" s="94" t="s">
        <v>110</v>
      </c>
      <c r="B33" s="22" t="s">
        <v>112</v>
      </c>
      <c r="C33" s="94" t="s">
        <v>24</v>
      </c>
      <c r="D33" s="99">
        <v>260.87599999999998</v>
      </c>
      <c r="E33" s="99">
        <v>120.327</v>
      </c>
      <c r="F33" s="98"/>
    </row>
    <row r="34" spans="1:7" ht="24.95" customHeight="1" x14ac:dyDescent="0.25">
      <c r="A34" s="94" t="s">
        <v>111</v>
      </c>
      <c r="B34" s="12" t="s">
        <v>113</v>
      </c>
      <c r="C34" s="94" t="s">
        <v>24</v>
      </c>
      <c r="D34" s="99">
        <v>7291.5029999999997</v>
      </c>
      <c r="E34" s="99">
        <f>111095.266+5452.375-106507.712</f>
        <v>10039.929000000004</v>
      </c>
      <c r="F34" s="98"/>
    </row>
    <row r="35" spans="1:7" ht="36.75" customHeight="1" x14ac:dyDescent="0.25">
      <c r="A35" s="20" t="s">
        <v>85</v>
      </c>
      <c r="B35" s="12" t="s">
        <v>42</v>
      </c>
      <c r="C35" s="97" t="s">
        <v>24</v>
      </c>
      <c r="D35" s="99"/>
      <c r="E35" s="28"/>
      <c r="F35" s="98"/>
    </row>
    <row r="36" spans="1:7" ht="24.95" customHeight="1" x14ac:dyDescent="0.25">
      <c r="A36" s="20" t="s">
        <v>86</v>
      </c>
      <c r="B36" s="12" t="s">
        <v>43</v>
      </c>
      <c r="C36" s="97" t="s">
        <v>24</v>
      </c>
      <c r="D36" s="99"/>
      <c r="E36" s="28"/>
      <c r="F36" s="98"/>
    </row>
    <row r="37" spans="1:7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85960.948000000004</v>
      </c>
      <c r="E37" s="24">
        <f>SUM(E38:E47)+E49+E50</f>
        <v>95349.263000000021</v>
      </c>
      <c r="F37" s="25"/>
    </row>
    <row r="38" spans="1:7" ht="24.95" customHeight="1" x14ac:dyDescent="0.25">
      <c r="A38" s="20" t="s">
        <v>7</v>
      </c>
      <c r="B38" s="12" t="s">
        <v>45</v>
      </c>
      <c r="C38" s="97" t="s">
        <v>24</v>
      </c>
      <c r="D38" s="99"/>
      <c r="E38" s="37"/>
      <c r="F38" s="98"/>
    </row>
    <row r="39" spans="1:7" ht="33.75" customHeight="1" x14ac:dyDescent="0.25">
      <c r="A39" s="20" t="s">
        <v>8</v>
      </c>
      <c r="B39" s="12" t="s">
        <v>46</v>
      </c>
      <c r="C39" s="97" t="s">
        <v>24</v>
      </c>
      <c r="D39" s="99"/>
      <c r="E39" s="37"/>
      <c r="F39" s="98"/>
    </row>
    <row r="40" spans="1:7" ht="24.95" customHeight="1" x14ac:dyDescent="0.25">
      <c r="A40" s="20" t="s">
        <v>11</v>
      </c>
      <c r="B40" s="12" t="s">
        <v>47</v>
      </c>
      <c r="C40" s="97" t="s">
        <v>24</v>
      </c>
      <c r="D40" s="1">
        <v>28839.096000000001</v>
      </c>
      <c r="E40" s="114">
        <v>28790.588</v>
      </c>
      <c r="F40" s="98"/>
    </row>
    <row r="41" spans="1:7" ht="24.95" customHeight="1" x14ac:dyDescent="0.25">
      <c r="A41" s="20" t="s">
        <v>12</v>
      </c>
      <c r="B41" s="12" t="s">
        <v>10</v>
      </c>
      <c r="C41" s="97" t="s">
        <v>24</v>
      </c>
      <c r="D41" s="1">
        <v>24539.363000000001</v>
      </c>
      <c r="E41" s="40">
        <v>25562.792000000001</v>
      </c>
      <c r="F41" s="98"/>
    </row>
    <row r="42" spans="1:7" ht="36.75" customHeight="1" x14ac:dyDescent="0.25">
      <c r="A42" s="20" t="s">
        <v>14</v>
      </c>
      <c r="B42" s="12" t="s">
        <v>48</v>
      </c>
      <c r="C42" s="97" t="s">
        <v>24</v>
      </c>
      <c r="D42" s="99"/>
      <c r="E42" s="37"/>
      <c r="F42" s="98"/>
    </row>
    <row r="43" spans="1:7" ht="24.95" customHeight="1" x14ac:dyDescent="0.25">
      <c r="A43" s="20" t="s">
        <v>16</v>
      </c>
      <c r="B43" s="12" t="s">
        <v>49</v>
      </c>
      <c r="C43" s="97" t="s">
        <v>24</v>
      </c>
      <c r="D43" s="1">
        <v>5456.7730000000001</v>
      </c>
      <c r="E43" s="40">
        <v>13906.138000000001</v>
      </c>
      <c r="F43" s="98"/>
    </row>
    <row r="44" spans="1:7" ht="24.95" customHeight="1" x14ac:dyDescent="0.25">
      <c r="A44" s="20" t="s">
        <v>17</v>
      </c>
      <c r="B44" s="12" t="s">
        <v>50</v>
      </c>
      <c r="C44" s="97" t="s">
        <v>24</v>
      </c>
      <c r="D44" s="111">
        <v>16474.477999999999</v>
      </c>
      <c r="E44" s="111">
        <v>16216</v>
      </c>
      <c r="F44" s="55" t="s">
        <v>129</v>
      </c>
      <c r="G44" s="2"/>
    </row>
    <row r="45" spans="1:7" ht="24.95" customHeight="1" x14ac:dyDescent="0.25">
      <c r="A45" s="20" t="s">
        <v>88</v>
      </c>
      <c r="B45" s="12" t="s">
        <v>13</v>
      </c>
      <c r="C45" s="97" t="s">
        <v>24</v>
      </c>
      <c r="D45" s="1">
        <v>0</v>
      </c>
      <c r="E45" s="40">
        <v>0</v>
      </c>
      <c r="F45" s="98"/>
    </row>
    <row r="46" spans="1:7" ht="24.95" customHeight="1" x14ac:dyDescent="0.25">
      <c r="A46" s="20" t="s">
        <v>87</v>
      </c>
      <c r="B46" s="12" t="s">
        <v>15</v>
      </c>
      <c r="C46" s="97" t="s">
        <v>24</v>
      </c>
      <c r="D46" s="1">
        <v>491.92200000000003</v>
      </c>
      <c r="E46" s="40">
        <v>1089.134</v>
      </c>
      <c r="F46" s="98"/>
    </row>
    <row r="47" spans="1:7" ht="54" customHeight="1" x14ac:dyDescent="0.25">
      <c r="A47" s="20" t="s">
        <v>89</v>
      </c>
      <c r="B47" s="12" t="s">
        <v>51</v>
      </c>
      <c r="C47" s="94" t="s">
        <v>24</v>
      </c>
      <c r="D47" s="1">
        <v>7141.68</v>
      </c>
      <c r="E47" s="75">
        <v>6873.1890000000003</v>
      </c>
      <c r="F47" s="98"/>
    </row>
    <row r="48" spans="1:7" ht="24.95" customHeight="1" x14ac:dyDescent="0.25">
      <c r="A48" s="94" t="s">
        <v>52</v>
      </c>
      <c r="B48" s="12" t="s">
        <v>53</v>
      </c>
      <c r="C48" s="97" t="s">
        <v>54</v>
      </c>
      <c r="D48" s="42">
        <v>74</v>
      </c>
      <c r="E48" s="105">
        <f>68+4</f>
        <v>72</v>
      </c>
      <c r="F48" s="98"/>
    </row>
    <row r="49" spans="1:9" ht="93" customHeight="1" x14ac:dyDescent="0.25">
      <c r="A49" s="20" t="s">
        <v>90</v>
      </c>
      <c r="B49" s="12" t="s">
        <v>55</v>
      </c>
      <c r="C49" s="94" t="s">
        <v>24</v>
      </c>
      <c r="D49" s="99"/>
      <c r="E49" s="37"/>
      <c r="F49" s="98"/>
    </row>
    <row r="50" spans="1:9" ht="24.95" customHeight="1" x14ac:dyDescent="0.25">
      <c r="A50" s="20" t="s">
        <v>91</v>
      </c>
      <c r="B50" s="12" t="s">
        <v>122</v>
      </c>
      <c r="C50" s="94" t="s">
        <v>24</v>
      </c>
      <c r="D50" s="1">
        <v>3017.636</v>
      </c>
      <c r="E50" s="40">
        <v>2911.422</v>
      </c>
      <c r="F50" s="98"/>
    </row>
    <row r="51" spans="1:9" ht="39" customHeight="1" x14ac:dyDescent="0.25">
      <c r="A51" s="96" t="s">
        <v>92</v>
      </c>
      <c r="B51" s="12" t="s">
        <v>56</v>
      </c>
      <c r="C51" s="94" t="s">
        <v>24</v>
      </c>
      <c r="D51" s="100">
        <f>-21157.653</f>
        <v>-21157.652999999998</v>
      </c>
      <c r="E51" s="37"/>
      <c r="F51" s="98"/>
    </row>
    <row r="52" spans="1:9" ht="48.75" customHeight="1" x14ac:dyDescent="0.25">
      <c r="A52" s="103" t="s">
        <v>139</v>
      </c>
      <c r="B52" s="12" t="s">
        <v>140</v>
      </c>
      <c r="C52" s="107" t="s">
        <v>24</v>
      </c>
      <c r="D52" s="105">
        <v>390.87400000000002</v>
      </c>
      <c r="E52" s="105">
        <v>120.304</v>
      </c>
      <c r="F52" s="106"/>
    </row>
    <row r="53" spans="1:9" ht="44.25" customHeight="1" x14ac:dyDescent="0.25">
      <c r="A53" s="94" t="s">
        <v>57</v>
      </c>
      <c r="B53" s="12" t="s">
        <v>114</v>
      </c>
      <c r="C53" s="94" t="s">
        <v>24</v>
      </c>
      <c r="D53" s="104">
        <f>D16+D18+D23+D28</f>
        <v>1172.0709999999999</v>
      </c>
      <c r="E53" s="104">
        <f>E16+E18+E23+E28</f>
        <v>11102.003000000001</v>
      </c>
      <c r="F53" s="98"/>
      <c r="G53" s="2"/>
      <c r="H53" s="2"/>
      <c r="I53" s="2"/>
    </row>
    <row r="54" spans="1:9" ht="39" customHeight="1" x14ac:dyDescent="0.25">
      <c r="A54" s="94" t="s">
        <v>58</v>
      </c>
      <c r="B54" s="13" t="s">
        <v>59</v>
      </c>
      <c r="C54" s="14" t="s">
        <v>24</v>
      </c>
      <c r="D54" s="24">
        <v>22610.997439999999</v>
      </c>
      <c r="E54" s="24">
        <v>37770.023999999998</v>
      </c>
      <c r="F54" s="15"/>
    </row>
    <row r="55" spans="1:9" ht="24.95" customHeight="1" x14ac:dyDescent="0.25">
      <c r="A55" s="152" t="s">
        <v>2</v>
      </c>
      <c r="B55" s="12" t="s">
        <v>60</v>
      </c>
      <c r="C55" s="150" t="s">
        <v>62</v>
      </c>
      <c r="D55" s="156">
        <v>10921.8</v>
      </c>
      <c r="E55" s="157">
        <v>14911.352000000001</v>
      </c>
      <c r="F55" s="155"/>
    </row>
    <row r="56" spans="1:9" ht="24.95" customHeight="1" x14ac:dyDescent="0.25">
      <c r="A56" s="152"/>
      <c r="B56" s="12" t="s">
        <v>61</v>
      </c>
      <c r="C56" s="151"/>
      <c r="D56" s="156"/>
      <c r="E56" s="157"/>
      <c r="F56" s="155"/>
    </row>
    <row r="57" spans="1:9" ht="24.95" customHeight="1" x14ac:dyDescent="0.25">
      <c r="A57" s="152" t="s">
        <v>6</v>
      </c>
      <c r="B57" s="12" t="s">
        <v>60</v>
      </c>
      <c r="C57" s="153" t="s">
        <v>115</v>
      </c>
      <c r="D57" s="154">
        <f>D54/D55*1000</f>
        <v>2070.262909044297</v>
      </c>
      <c r="E57" s="154">
        <f>E54/E55*1000</f>
        <v>2532.9711215991679</v>
      </c>
      <c r="F57" s="155"/>
    </row>
    <row r="58" spans="1:9" ht="37.5" customHeight="1" x14ac:dyDescent="0.25">
      <c r="A58" s="152"/>
      <c r="B58" s="12" t="s">
        <v>63</v>
      </c>
      <c r="C58" s="153"/>
      <c r="D58" s="154"/>
      <c r="E58" s="154"/>
      <c r="F58" s="155"/>
    </row>
    <row r="59" spans="1:9" ht="53.25" customHeight="1" x14ac:dyDescent="0.25">
      <c r="A59" s="94" t="s">
        <v>64</v>
      </c>
      <c r="B59" s="12" t="s">
        <v>65</v>
      </c>
      <c r="C59" s="94" t="s">
        <v>22</v>
      </c>
      <c r="D59" s="94" t="s">
        <v>22</v>
      </c>
      <c r="E59" s="94" t="s">
        <v>22</v>
      </c>
      <c r="F59" s="94" t="s">
        <v>22</v>
      </c>
    </row>
    <row r="60" spans="1:9" ht="29.25" customHeight="1" x14ac:dyDescent="0.25">
      <c r="A60" s="36">
        <v>1</v>
      </c>
      <c r="B60" s="13" t="s">
        <v>134</v>
      </c>
      <c r="C60" s="14" t="s">
        <v>66</v>
      </c>
      <c r="D60" s="90">
        <v>4201</v>
      </c>
      <c r="E60" s="90">
        <v>4201</v>
      </c>
      <c r="F60" s="15"/>
    </row>
    <row r="61" spans="1:9" ht="24.95" customHeight="1" x14ac:dyDescent="0.25">
      <c r="A61" s="36">
        <v>2</v>
      </c>
      <c r="B61" s="13" t="s">
        <v>67</v>
      </c>
      <c r="C61" s="14" t="s">
        <v>68</v>
      </c>
      <c r="D61" s="24">
        <v>120.905</v>
      </c>
      <c r="E61" s="24">
        <v>123.55500000000001</v>
      </c>
      <c r="F61" s="15"/>
    </row>
    <row r="62" spans="1:9" ht="24.95" customHeight="1" x14ac:dyDescent="0.25">
      <c r="A62" s="94"/>
      <c r="B62" s="94" t="s">
        <v>116</v>
      </c>
      <c r="C62" s="94" t="s">
        <v>68</v>
      </c>
      <c r="D62" s="105">
        <v>20</v>
      </c>
      <c r="E62" s="105">
        <v>20</v>
      </c>
      <c r="F62" s="100"/>
    </row>
    <row r="63" spans="1:9" ht="37.5" customHeight="1" x14ac:dyDescent="0.25">
      <c r="A63" s="94"/>
      <c r="B63" s="94" t="s">
        <v>117</v>
      </c>
      <c r="C63" s="94" t="s">
        <v>68</v>
      </c>
      <c r="D63" s="104">
        <f>D61-D62</f>
        <v>100.905</v>
      </c>
      <c r="E63" s="104">
        <f>E61-E62</f>
        <v>103.55500000000001</v>
      </c>
      <c r="F63" s="100"/>
    </row>
    <row r="64" spans="1:9" ht="24.95" customHeight="1" x14ac:dyDescent="0.25">
      <c r="A64" s="36">
        <v>3</v>
      </c>
      <c r="B64" s="13" t="s">
        <v>69</v>
      </c>
      <c r="C64" s="14" t="s">
        <v>70</v>
      </c>
      <c r="D64" s="24">
        <f>D65+D66+D67</f>
        <v>1066.6690000000001</v>
      </c>
      <c r="E64" s="24">
        <f>E65+E66+E67</f>
        <v>1095.2470000000001</v>
      </c>
      <c r="F64" s="98"/>
      <c r="G64" s="2"/>
    </row>
    <row r="65" spans="1:10" ht="35.25" customHeight="1" x14ac:dyDescent="0.25">
      <c r="A65" s="94"/>
      <c r="B65" s="94" t="s">
        <v>116</v>
      </c>
      <c r="C65" s="94" t="s">
        <v>70</v>
      </c>
      <c r="D65" s="104">
        <v>12.315</v>
      </c>
      <c r="E65" s="99">
        <v>12.315</v>
      </c>
      <c r="F65" s="100"/>
    </row>
    <row r="66" spans="1:10" ht="35.25" customHeight="1" x14ac:dyDescent="0.25">
      <c r="A66" s="94"/>
      <c r="B66" s="94" t="s">
        <v>117</v>
      </c>
      <c r="C66" s="94" t="s">
        <v>70</v>
      </c>
      <c r="D66" s="104">
        <f>610.376</f>
        <v>610.37599999999998</v>
      </c>
      <c r="E66" s="99">
        <v>622.60599999999999</v>
      </c>
      <c r="F66" s="100"/>
    </row>
    <row r="67" spans="1:10" ht="35.25" customHeight="1" x14ac:dyDescent="0.25">
      <c r="A67" s="94"/>
      <c r="B67" s="94" t="s">
        <v>118</v>
      </c>
      <c r="C67" s="94" t="s">
        <v>70</v>
      </c>
      <c r="D67" s="104">
        <f>424.276+19.702</f>
        <v>443.97800000000001</v>
      </c>
      <c r="E67" s="99">
        <v>460.32600000000002</v>
      </c>
      <c r="F67" s="100"/>
    </row>
    <row r="68" spans="1:10" ht="24.95" customHeight="1" x14ac:dyDescent="0.25">
      <c r="A68" s="36">
        <v>4</v>
      </c>
      <c r="B68" s="13" t="s">
        <v>71</v>
      </c>
      <c r="C68" s="14" t="s">
        <v>70</v>
      </c>
      <c r="D68" s="38">
        <f>D69+D70+D71</f>
        <v>1972.7</v>
      </c>
      <c r="E68" s="38">
        <f>E69+E70+E71</f>
        <v>2080.8000000000002</v>
      </c>
      <c r="F68" s="98"/>
    </row>
    <row r="69" spans="1:10" ht="24.95" customHeight="1" x14ac:dyDescent="0.25">
      <c r="A69" s="94"/>
      <c r="B69" s="26" t="s">
        <v>116</v>
      </c>
      <c r="C69" s="97" t="s">
        <v>70</v>
      </c>
      <c r="D69" s="108">
        <v>92</v>
      </c>
      <c r="E69" s="102">
        <v>92</v>
      </c>
      <c r="F69" s="98"/>
    </row>
    <row r="70" spans="1:10" ht="24.95" customHeight="1" x14ac:dyDescent="0.25">
      <c r="A70" s="94"/>
      <c r="B70" s="26" t="s">
        <v>117</v>
      </c>
      <c r="C70" s="97" t="s">
        <v>70</v>
      </c>
      <c r="D70" s="104">
        <v>1880.7</v>
      </c>
      <c r="E70" s="102">
        <v>1988.8</v>
      </c>
      <c r="F70" s="98"/>
    </row>
    <row r="71" spans="1:10" ht="24.95" customHeight="1" x14ac:dyDescent="0.25">
      <c r="A71" s="94"/>
      <c r="B71" s="26" t="s">
        <v>118</v>
      </c>
      <c r="C71" s="97" t="s">
        <v>70</v>
      </c>
      <c r="D71" s="105"/>
      <c r="E71" s="100"/>
      <c r="F71" s="98"/>
    </row>
    <row r="72" spans="1:10" ht="24.95" customHeight="1" x14ac:dyDescent="0.25">
      <c r="A72" s="36">
        <v>5</v>
      </c>
      <c r="B72" s="13" t="s">
        <v>72</v>
      </c>
      <c r="C72" s="14" t="s">
        <v>73</v>
      </c>
      <c r="D72" s="24">
        <f>D74+D75+D73</f>
        <v>399.75899999999996</v>
      </c>
      <c r="E72" s="24">
        <f>E74+E75+E73</f>
        <v>408.97399999999999</v>
      </c>
      <c r="F72" s="98"/>
    </row>
    <row r="73" spans="1:10" ht="24.95" customHeight="1" x14ac:dyDescent="0.25">
      <c r="A73" s="94"/>
      <c r="B73" s="26" t="s">
        <v>116</v>
      </c>
      <c r="C73" s="97" t="s">
        <v>73</v>
      </c>
      <c r="D73" s="105">
        <v>7.2</v>
      </c>
      <c r="E73" s="100">
        <v>7.2</v>
      </c>
      <c r="F73" s="98"/>
    </row>
    <row r="74" spans="1:10" ht="24.95" customHeight="1" x14ac:dyDescent="0.25">
      <c r="A74" s="94"/>
      <c r="B74" s="26" t="s">
        <v>117</v>
      </c>
      <c r="C74" s="97" t="s">
        <v>73</v>
      </c>
      <c r="D74" s="104">
        <v>224.98400000000001</v>
      </c>
      <c r="E74" s="99">
        <v>227.90600000000001</v>
      </c>
      <c r="F74" s="100"/>
    </row>
    <row r="75" spans="1:10" ht="24.95" customHeight="1" x14ac:dyDescent="0.25">
      <c r="A75" s="94"/>
      <c r="B75" s="26" t="s">
        <v>118</v>
      </c>
      <c r="C75" s="97" t="s">
        <v>73</v>
      </c>
      <c r="D75" s="104">
        <f>160.278+7.297</f>
        <v>167.57499999999999</v>
      </c>
      <c r="E75" s="99">
        <v>173.86799999999999</v>
      </c>
      <c r="F75" s="100"/>
    </row>
    <row r="76" spans="1:10" ht="24.95" customHeight="1" x14ac:dyDescent="0.25">
      <c r="A76" s="36">
        <v>6</v>
      </c>
      <c r="B76" s="13" t="s">
        <v>74</v>
      </c>
      <c r="C76" s="14" t="s">
        <v>75</v>
      </c>
      <c r="D76" s="92">
        <f>(139.922+133.879+7.297)/D72*100</f>
        <v>70.316865911711815</v>
      </c>
      <c r="E76" s="92">
        <f>287.577/E72*100</f>
        <v>70.316694948823155</v>
      </c>
      <c r="F76" s="15"/>
    </row>
    <row r="77" spans="1:10" ht="38.25" customHeight="1" x14ac:dyDescent="0.25">
      <c r="A77" s="94">
        <v>7</v>
      </c>
      <c r="B77" s="12" t="s">
        <v>76</v>
      </c>
      <c r="C77" s="94" t="s">
        <v>24</v>
      </c>
      <c r="D77" s="37"/>
      <c r="E77" s="109">
        <f>43462.373-11456.959-739.036</f>
        <v>31266.377999999997</v>
      </c>
      <c r="F77" s="19"/>
      <c r="J77" s="2"/>
    </row>
    <row r="78" spans="1:10" ht="38.25" customHeight="1" x14ac:dyDescent="0.25">
      <c r="A78" s="110">
        <v>8</v>
      </c>
      <c r="B78" s="12" t="s">
        <v>141</v>
      </c>
      <c r="C78" s="110" t="s">
        <v>24</v>
      </c>
      <c r="D78" s="37"/>
      <c r="E78" s="93">
        <f>6032.499-25.6+2370.694</f>
        <v>8377.5929999999989</v>
      </c>
      <c r="F78" s="19"/>
      <c r="G78" s="2"/>
    </row>
    <row r="79" spans="1:10" ht="41.25" customHeight="1" x14ac:dyDescent="0.25">
      <c r="A79" s="27">
        <v>9</v>
      </c>
      <c r="B79" s="100" t="s">
        <v>123</v>
      </c>
      <c r="C79" s="94" t="s">
        <v>75</v>
      </c>
      <c r="D79" s="94" t="s">
        <v>93</v>
      </c>
      <c r="E79" s="94" t="s">
        <v>93</v>
      </c>
      <c r="F79" s="94" t="s">
        <v>93</v>
      </c>
      <c r="J79" s="2"/>
    </row>
    <row r="80" spans="1:10" ht="15.75" x14ac:dyDescent="0.25">
      <c r="A80" s="3"/>
      <c r="B80" s="3"/>
      <c r="C80" s="3"/>
      <c r="D80" s="3"/>
      <c r="E80" s="3"/>
      <c r="F80" s="3"/>
    </row>
    <row r="81" spans="2:6" s="11" customFormat="1" ht="16.5" customHeight="1" x14ac:dyDescent="0.25">
      <c r="B81" s="101" t="s">
        <v>94</v>
      </c>
    </row>
    <row r="82" spans="2:6" s="11" customFormat="1" ht="57.75" customHeight="1" x14ac:dyDescent="0.25">
      <c r="B82" s="158" t="s">
        <v>95</v>
      </c>
      <c r="C82" s="158"/>
      <c r="D82" s="158"/>
      <c r="E82" s="158"/>
      <c r="F82" s="158"/>
    </row>
    <row r="83" spans="2:6" s="11" customFormat="1" ht="30.75" customHeight="1" x14ac:dyDescent="0.25">
      <c r="B83" s="158" t="s">
        <v>96</v>
      </c>
      <c r="C83" s="158"/>
      <c r="D83" s="158"/>
      <c r="E83" s="158"/>
      <c r="F83" s="158"/>
    </row>
    <row r="84" spans="2:6" s="11" customFormat="1" ht="33.75" customHeight="1" x14ac:dyDescent="0.25">
      <c r="B84" s="159" t="s">
        <v>97</v>
      </c>
      <c r="C84" s="159"/>
      <c r="D84" s="159"/>
      <c r="E84" s="159"/>
      <c r="F84" s="159"/>
    </row>
    <row r="85" spans="2:6" s="11" customFormat="1" ht="34.5" customHeight="1" x14ac:dyDescent="0.25">
      <c r="B85" s="158" t="s">
        <v>98</v>
      </c>
      <c r="C85" s="158"/>
      <c r="D85" s="158"/>
      <c r="E85" s="158"/>
      <c r="F85" s="158"/>
    </row>
    <row r="86" spans="2:6" s="11" customFormat="1" ht="50.1" customHeight="1" x14ac:dyDescent="0.25">
      <c r="B86" s="158" t="s">
        <v>99</v>
      </c>
      <c r="C86" s="158"/>
      <c r="D86" s="158"/>
      <c r="E86" s="158"/>
      <c r="F86" s="158"/>
    </row>
    <row r="87" spans="2:6" x14ac:dyDescent="0.25">
      <c r="B87" s="10"/>
    </row>
  </sheetData>
  <mergeCells count="22">
    <mergeCell ref="B82:F82"/>
    <mergeCell ref="B83:F83"/>
    <mergeCell ref="B84:F84"/>
    <mergeCell ref="B85:F85"/>
    <mergeCell ref="B86:F86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4" location="Par395" tooltip="Примечание &lt;***&gt;" display="Par395"/>
  </hyperlinks>
  <pageMargins left="0.7" right="0.7" top="0.75" bottom="0.75" header="0.3" footer="0.3"/>
  <pageSetup paperSize="9" scale="67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K86"/>
  <sheetViews>
    <sheetView topLeftCell="A59" workbookViewId="0">
      <selection activeCell="H77" sqref="H77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 x14ac:dyDescent="0.25">
      <c r="A1" s="3"/>
      <c r="B1" s="3"/>
      <c r="C1" s="3" t="s">
        <v>77</v>
      </c>
      <c r="D1" s="3"/>
      <c r="E1" s="3"/>
      <c r="F1" s="3"/>
    </row>
    <row r="2" spans="1:11" ht="51" customHeight="1" x14ac:dyDescent="0.25">
      <c r="A2" s="3"/>
      <c r="B2" s="3"/>
      <c r="C2" s="145" t="s">
        <v>78</v>
      </c>
      <c r="D2" s="145"/>
      <c r="E2" s="145"/>
      <c r="F2" s="145"/>
    </row>
    <row r="3" spans="1:11" ht="69.75" customHeight="1" x14ac:dyDescent="0.25">
      <c r="A3" s="146" t="s">
        <v>79</v>
      </c>
      <c r="B3" s="146"/>
      <c r="C3" s="146"/>
      <c r="D3" s="146"/>
      <c r="E3" s="146"/>
      <c r="F3" s="146"/>
    </row>
    <row r="4" spans="1:11" ht="38.25" customHeight="1" x14ac:dyDescent="0.3">
      <c r="A4" s="6" t="s">
        <v>80</v>
      </c>
      <c r="B4" s="6"/>
      <c r="C4" s="7"/>
      <c r="D4" s="5"/>
      <c r="E4" s="5"/>
      <c r="F4" s="5"/>
    </row>
    <row r="5" spans="1:11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 x14ac:dyDescent="0.3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 x14ac:dyDescent="0.3">
      <c r="A7" s="8" t="s">
        <v>131</v>
      </c>
      <c r="B7" s="8"/>
      <c r="C7" s="9"/>
      <c r="D7" s="35"/>
      <c r="E7" s="4"/>
      <c r="F7" s="4"/>
    </row>
    <row r="8" spans="1:11" ht="15.75" x14ac:dyDescent="0.25">
      <c r="A8" s="3"/>
      <c r="B8" s="3"/>
      <c r="C8" s="3"/>
      <c r="D8" s="3"/>
      <c r="E8" s="3"/>
      <c r="F8" s="3"/>
    </row>
    <row r="9" spans="1:11" ht="15.75" x14ac:dyDescent="0.25">
      <c r="A9" s="147" t="s">
        <v>18</v>
      </c>
      <c r="B9" s="147" t="s">
        <v>0</v>
      </c>
      <c r="C9" s="147" t="s">
        <v>19</v>
      </c>
      <c r="D9" s="160" t="s">
        <v>136</v>
      </c>
      <c r="E9" s="161"/>
      <c r="F9" s="150" t="s">
        <v>1</v>
      </c>
    </row>
    <row r="10" spans="1:11" ht="42.75" customHeight="1" x14ac:dyDescent="0.25">
      <c r="A10" s="147"/>
      <c r="B10" s="147"/>
      <c r="C10" s="147"/>
      <c r="D10" s="72" t="s">
        <v>124</v>
      </c>
      <c r="E10" s="72" t="s">
        <v>84</v>
      </c>
      <c r="F10" s="151"/>
    </row>
    <row r="11" spans="1:11" ht="24.75" customHeight="1" x14ac:dyDescent="0.25">
      <c r="A11" s="67" t="s">
        <v>20</v>
      </c>
      <c r="B11" s="12" t="s">
        <v>21</v>
      </c>
      <c r="C11" s="67" t="s">
        <v>22</v>
      </c>
      <c r="D11" s="67" t="s">
        <v>22</v>
      </c>
      <c r="E11" s="67" t="s">
        <v>22</v>
      </c>
      <c r="F11" s="67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 x14ac:dyDescent="0.25">
      <c r="A12" s="67">
        <v>1</v>
      </c>
      <c r="B12" s="13" t="s">
        <v>23</v>
      </c>
      <c r="C12" s="14" t="s">
        <v>24</v>
      </c>
      <c r="D12" s="24">
        <f>D13+D37+D51</f>
        <v>196584.55500000002</v>
      </c>
      <c r="E12" s="24">
        <f>E13+E37+E51</f>
        <v>210134.46300000002</v>
      </c>
      <c r="F12" s="15"/>
      <c r="G12" s="74"/>
      <c r="H12" s="63"/>
      <c r="I12" s="63"/>
      <c r="J12" s="60"/>
      <c r="K12" s="2"/>
    </row>
    <row r="13" spans="1:11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98627.893000000011</v>
      </c>
      <c r="E13" s="24">
        <f>E14+E19+E24+E35+E36</f>
        <v>111463.69900000001</v>
      </c>
      <c r="F13" s="15"/>
      <c r="G13" s="2"/>
      <c r="H13" s="2"/>
      <c r="I13" s="61"/>
    </row>
    <row r="14" spans="1:11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3361.779</v>
      </c>
      <c r="E14" s="24">
        <f>E15+E17</f>
        <v>4397.6049999999996</v>
      </c>
      <c r="F14" s="15"/>
      <c r="G14" s="2"/>
      <c r="H14" s="2"/>
      <c r="I14" s="2"/>
    </row>
    <row r="15" spans="1:11" ht="24.95" customHeight="1" x14ac:dyDescent="0.25">
      <c r="A15" s="67" t="s">
        <v>27</v>
      </c>
      <c r="B15" s="12" t="s">
        <v>28</v>
      </c>
      <c r="C15" s="67" t="s">
        <v>24</v>
      </c>
      <c r="D15" s="18">
        <v>3222.9789999999998</v>
      </c>
      <c r="E15" s="18">
        <v>2783.442</v>
      </c>
      <c r="F15" s="70"/>
      <c r="G15" s="2"/>
      <c r="I15" s="2"/>
    </row>
    <row r="16" spans="1:11" ht="24.95" customHeight="1" x14ac:dyDescent="0.25">
      <c r="A16" s="67" t="s">
        <v>29</v>
      </c>
      <c r="B16" s="26" t="s">
        <v>33</v>
      </c>
      <c r="C16" s="67" t="s">
        <v>24</v>
      </c>
      <c r="D16" s="28"/>
      <c r="E16" s="18"/>
      <c r="F16" s="70"/>
      <c r="G16" s="2"/>
      <c r="H16" s="2"/>
      <c r="I16" s="2"/>
      <c r="J16" s="2"/>
    </row>
    <row r="17" spans="1:9" ht="51" customHeight="1" x14ac:dyDescent="0.25">
      <c r="A17" s="67" t="s">
        <v>30</v>
      </c>
      <c r="B17" s="12" t="s">
        <v>31</v>
      </c>
      <c r="C17" s="67" t="s">
        <v>24</v>
      </c>
      <c r="D17" s="64">
        <v>138.80000000000001</v>
      </c>
      <c r="E17" s="64">
        <f>1711.539-97.376</f>
        <v>1614.163</v>
      </c>
      <c r="F17" s="70"/>
      <c r="G17" s="2"/>
      <c r="I17" s="2"/>
    </row>
    <row r="18" spans="1:9" ht="24.95" customHeight="1" x14ac:dyDescent="0.25">
      <c r="A18" s="67" t="s">
        <v>32</v>
      </c>
      <c r="B18" s="26" t="s">
        <v>33</v>
      </c>
      <c r="C18" s="67" t="s">
        <v>24</v>
      </c>
      <c r="D18" s="18"/>
      <c r="E18" s="37"/>
      <c r="F18" s="70"/>
      <c r="I18" s="2"/>
    </row>
    <row r="19" spans="1:9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82750.521000000008</v>
      </c>
      <c r="E19" s="24">
        <f>E20+E21+E22</f>
        <v>84451.237000000008</v>
      </c>
      <c r="F19" s="15"/>
      <c r="G19" s="62"/>
      <c r="H19" s="62"/>
      <c r="I19" s="62"/>
    </row>
    <row r="20" spans="1:9" ht="24.95" customHeight="1" outlineLevel="1" x14ac:dyDescent="0.25">
      <c r="A20" s="29"/>
      <c r="B20" s="30" t="s">
        <v>119</v>
      </c>
      <c r="C20" s="31" t="s">
        <v>24</v>
      </c>
      <c r="D20" s="32">
        <v>81549.638000000006</v>
      </c>
      <c r="E20" s="32">
        <v>83835.782000000007</v>
      </c>
      <c r="F20" s="33"/>
    </row>
    <row r="21" spans="1:9" ht="24.95" customHeight="1" outlineLevel="1" x14ac:dyDescent="0.25">
      <c r="A21" s="29"/>
      <c r="B21" s="30" t="s">
        <v>120</v>
      </c>
      <c r="C21" s="31" t="s">
        <v>24</v>
      </c>
      <c r="D21" s="32">
        <v>1199.155</v>
      </c>
      <c r="E21" s="32">
        <v>357.238</v>
      </c>
      <c r="F21" s="34"/>
    </row>
    <row r="22" spans="1:9" ht="24.95" customHeight="1" outlineLevel="1" x14ac:dyDescent="0.25">
      <c r="A22" s="29"/>
      <c r="B22" s="30" t="s">
        <v>121</v>
      </c>
      <c r="C22" s="31" t="s">
        <v>24</v>
      </c>
      <c r="D22" s="32">
        <v>1.728</v>
      </c>
      <c r="E22" s="32">
        <f>257.07+1.147</f>
        <v>258.21699999999998</v>
      </c>
      <c r="F22" s="34"/>
    </row>
    <row r="23" spans="1:9" ht="24.95" customHeight="1" x14ac:dyDescent="0.25">
      <c r="A23" s="71" t="s">
        <v>34</v>
      </c>
      <c r="B23" s="26" t="s">
        <v>33</v>
      </c>
      <c r="C23" s="67" t="s">
        <v>24</v>
      </c>
      <c r="D23" s="18"/>
      <c r="E23" s="18"/>
      <c r="F23" s="70"/>
    </row>
    <row r="24" spans="1:9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12515.593000000003</v>
      </c>
      <c r="E24" s="24">
        <f>E25+E26+E27</f>
        <v>22614.857</v>
      </c>
      <c r="F24" s="70"/>
    </row>
    <row r="25" spans="1:9" ht="34.5" customHeight="1" x14ac:dyDescent="0.25">
      <c r="A25" s="71" t="s">
        <v>36</v>
      </c>
      <c r="B25" s="12" t="s">
        <v>37</v>
      </c>
      <c r="C25" s="67" t="s">
        <v>24</v>
      </c>
      <c r="D25" s="18">
        <v>329.63799999999998</v>
      </c>
      <c r="E25" s="18">
        <v>222.42599999999999</v>
      </c>
      <c r="F25" s="70"/>
      <c r="G25" s="44"/>
    </row>
    <row r="26" spans="1:9" ht="24.95" customHeight="1" x14ac:dyDescent="0.25">
      <c r="A26" s="71" t="s">
        <v>38</v>
      </c>
      <c r="B26" s="12" t="s">
        <v>39</v>
      </c>
      <c r="C26" s="67" t="s">
        <v>24</v>
      </c>
      <c r="D26" s="28">
        <v>487.47500000000002</v>
      </c>
      <c r="E26" s="28">
        <v>97.376000000000005</v>
      </c>
      <c r="F26" s="70"/>
    </row>
    <row r="27" spans="1:9" ht="24.95" customHeight="1" x14ac:dyDescent="0.25">
      <c r="A27" s="71" t="s">
        <v>40</v>
      </c>
      <c r="B27" s="21" t="s">
        <v>41</v>
      </c>
      <c r="C27" s="67" t="s">
        <v>24</v>
      </c>
      <c r="D27" s="18">
        <f>SUM(D28:D34)</f>
        <v>11698.480000000003</v>
      </c>
      <c r="E27" s="18">
        <f>SUM(E28:E34)</f>
        <v>22295.055</v>
      </c>
      <c r="F27" s="70"/>
    </row>
    <row r="28" spans="1:9" ht="40.5" customHeight="1" x14ac:dyDescent="0.25">
      <c r="A28" s="71" t="s">
        <v>100</v>
      </c>
      <c r="B28" s="41" t="s">
        <v>101</v>
      </c>
      <c r="C28" s="71" t="s">
        <v>24</v>
      </c>
      <c r="D28" s="18">
        <v>1166.3330000000001</v>
      </c>
      <c r="E28" s="18">
        <v>4363.0060000000003</v>
      </c>
      <c r="F28" s="70"/>
    </row>
    <row r="29" spans="1:9" ht="24.95" customHeight="1" x14ac:dyDescent="0.25">
      <c r="A29" s="71" t="s">
        <v>102</v>
      </c>
      <c r="B29" s="12" t="s">
        <v>103</v>
      </c>
      <c r="C29" s="71" t="s">
        <v>24</v>
      </c>
      <c r="D29" s="57">
        <f>1869.669-487.475</f>
        <v>1382.194</v>
      </c>
      <c r="E29" s="64">
        <f>580.428+198.884+325.286+110.647</f>
        <v>1215.2449999999999</v>
      </c>
      <c r="F29" s="70"/>
    </row>
    <row r="30" spans="1:9" ht="24.95" customHeight="1" x14ac:dyDescent="0.25">
      <c r="A30" s="71" t="s">
        <v>107</v>
      </c>
      <c r="B30" s="12" t="s">
        <v>104</v>
      </c>
      <c r="C30" s="71" t="s">
        <v>24</v>
      </c>
      <c r="D30" s="18">
        <v>0</v>
      </c>
      <c r="E30" s="18">
        <v>38.524000000000001</v>
      </c>
      <c r="F30" s="70"/>
    </row>
    <row r="31" spans="1:9" ht="24.95" customHeight="1" x14ac:dyDescent="0.25">
      <c r="A31" s="71" t="s">
        <v>108</v>
      </c>
      <c r="B31" s="12" t="s">
        <v>105</v>
      </c>
      <c r="C31" s="71" t="s">
        <v>24</v>
      </c>
      <c r="D31" s="18">
        <v>108.05800000000001</v>
      </c>
      <c r="E31" s="18">
        <v>104.456</v>
      </c>
      <c r="F31" s="70"/>
    </row>
    <row r="32" spans="1:9" ht="34.5" customHeight="1" x14ac:dyDescent="0.25">
      <c r="A32" s="71" t="s">
        <v>109</v>
      </c>
      <c r="B32" s="22" t="s">
        <v>106</v>
      </c>
      <c r="C32" s="71" t="s">
        <v>24</v>
      </c>
      <c r="D32" s="18">
        <v>1526.492</v>
      </c>
      <c r="E32" s="18">
        <v>2743.5720000000001</v>
      </c>
      <c r="F32" s="70"/>
    </row>
    <row r="33" spans="1:8" ht="34.5" customHeight="1" x14ac:dyDescent="0.25">
      <c r="A33" s="71" t="s">
        <v>110</v>
      </c>
      <c r="B33" s="22" t="s">
        <v>112</v>
      </c>
      <c r="C33" s="71" t="s">
        <v>24</v>
      </c>
      <c r="D33" s="18">
        <v>259.59899999999999</v>
      </c>
      <c r="E33" s="18">
        <v>163.46</v>
      </c>
      <c r="F33" s="70"/>
    </row>
    <row r="34" spans="1:8" ht="24.95" customHeight="1" x14ac:dyDescent="0.25">
      <c r="A34" s="71" t="s">
        <v>111</v>
      </c>
      <c r="B34" s="12" t="s">
        <v>113</v>
      </c>
      <c r="C34" s="71" t="s">
        <v>24</v>
      </c>
      <c r="D34" s="18">
        <f>98627.892-91372.088</f>
        <v>7255.8040000000037</v>
      </c>
      <c r="E34" s="18">
        <f>11964.765+996.243+718.918-66.378+53.244</f>
        <v>13666.791999999999</v>
      </c>
      <c r="F34" s="70"/>
    </row>
    <row r="35" spans="1:8" ht="36.75" customHeight="1" x14ac:dyDescent="0.25">
      <c r="A35" s="20" t="s">
        <v>85</v>
      </c>
      <c r="B35" s="12" t="s">
        <v>42</v>
      </c>
      <c r="C35" s="67" t="s">
        <v>24</v>
      </c>
      <c r="D35" s="18"/>
      <c r="E35" s="28"/>
      <c r="F35" s="70"/>
    </row>
    <row r="36" spans="1:8" ht="24.95" customHeight="1" x14ac:dyDescent="0.25">
      <c r="A36" s="20" t="s">
        <v>86</v>
      </c>
      <c r="B36" s="12" t="s">
        <v>43</v>
      </c>
      <c r="C36" s="67" t="s">
        <v>24</v>
      </c>
      <c r="D36" s="18"/>
      <c r="E36" s="28"/>
      <c r="F36" s="70"/>
    </row>
    <row r="37" spans="1:8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97317.498000000021</v>
      </c>
      <c r="E37" s="24">
        <f>SUM(E38:E47)+E49+E50</f>
        <v>98670.76400000001</v>
      </c>
      <c r="F37" s="25"/>
    </row>
    <row r="38" spans="1:8" ht="24.95" customHeight="1" x14ac:dyDescent="0.25">
      <c r="A38" s="20" t="s">
        <v>7</v>
      </c>
      <c r="B38" s="12" t="s">
        <v>45</v>
      </c>
      <c r="C38" s="67" t="s">
        <v>24</v>
      </c>
      <c r="D38" s="18"/>
      <c r="E38" s="37"/>
      <c r="F38" s="70"/>
    </row>
    <row r="39" spans="1:8" ht="33.75" customHeight="1" x14ac:dyDescent="0.25">
      <c r="A39" s="20" t="s">
        <v>8</v>
      </c>
      <c r="B39" s="12" t="s">
        <v>46</v>
      </c>
      <c r="C39" s="67" t="s">
        <v>24</v>
      </c>
      <c r="D39" s="18"/>
      <c r="E39" s="37"/>
      <c r="F39" s="70"/>
    </row>
    <row r="40" spans="1:8" ht="24.95" customHeight="1" x14ac:dyDescent="0.25">
      <c r="A40" s="20" t="s">
        <v>11</v>
      </c>
      <c r="B40" s="12" t="s">
        <v>47</v>
      </c>
      <c r="C40" s="67" t="s">
        <v>24</v>
      </c>
      <c r="D40" s="1">
        <v>28819.248</v>
      </c>
      <c r="E40" s="40">
        <f>29923.063-110.647-996.243</f>
        <v>28816.172999999999</v>
      </c>
      <c r="F40" s="70"/>
    </row>
    <row r="41" spans="1:8" ht="24.95" customHeight="1" x14ac:dyDescent="0.25">
      <c r="A41" s="20" t="s">
        <v>12</v>
      </c>
      <c r="B41" s="12" t="s">
        <v>10</v>
      </c>
      <c r="C41" s="67" t="s">
        <v>24</v>
      </c>
      <c r="D41" s="1">
        <v>24386.579000000002</v>
      </c>
      <c r="E41" s="40">
        <v>25205.594000000001</v>
      </c>
      <c r="F41" s="70"/>
    </row>
    <row r="42" spans="1:8" ht="36.75" customHeight="1" x14ac:dyDescent="0.25">
      <c r="A42" s="20" t="s">
        <v>14</v>
      </c>
      <c r="B42" s="12" t="s">
        <v>48</v>
      </c>
      <c r="C42" s="67" t="s">
        <v>24</v>
      </c>
      <c r="D42" s="18"/>
      <c r="E42" s="37"/>
      <c r="F42" s="70"/>
    </row>
    <row r="43" spans="1:8" ht="24.95" customHeight="1" x14ac:dyDescent="0.25">
      <c r="A43" s="20" t="s">
        <v>16</v>
      </c>
      <c r="B43" s="12" t="s">
        <v>49</v>
      </c>
      <c r="C43" s="67" t="s">
        <v>24</v>
      </c>
      <c r="D43" s="1">
        <v>8245.9570000000003</v>
      </c>
      <c r="E43" s="40">
        <v>9709.9549999999999</v>
      </c>
      <c r="F43" s="70"/>
      <c r="G43" s="2"/>
    </row>
    <row r="44" spans="1:8" ht="24.95" customHeight="1" x14ac:dyDescent="0.25">
      <c r="A44" s="20" t="s">
        <v>17</v>
      </c>
      <c r="B44" s="12" t="s">
        <v>50</v>
      </c>
      <c r="C44" s="67" t="s">
        <v>24</v>
      </c>
      <c r="D44" s="18">
        <v>22097</v>
      </c>
      <c r="E44" s="18">
        <v>15643</v>
      </c>
      <c r="F44" s="55" t="s">
        <v>129</v>
      </c>
      <c r="G44" s="2"/>
      <c r="H44" s="2"/>
    </row>
    <row r="45" spans="1:8" ht="24.95" customHeight="1" x14ac:dyDescent="0.25">
      <c r="A45" s="20" t="s">
        <v>88</v>
      </c>
      <c r="B45" s="12" t="s">
        <v>13</v>
      </c>
      <c r="C45" s="67" t="s">
        <v>24</v>
      </c>
      <c r="D45" s="1">
        <v>0</v>
      </c>
      <c r="E45" s="40">
        <v>0</v>
      </c>
      <c r="F45" s="70"/>
    </row>
    <row r="46" spans="1:8" ht="24.95" customHeight="1" x14ac:dyDescent="0.25">
      <c r="A46" s="20" t="s">
        <v>87</v>
      </c>
      <c r="B46" s="12" t="s">
        <v>15</v>
      </c>
      <c r="C46" s="67" t="s">
        <v>24</v>
      </c>
      <c r="D46" s="1">
        <v>773.88199999999995</v>
      </c>
      <c r="E46" s="40">
        <v>489.13200000000001</v>
      </c>
      <c r="F46" s="70"/>
    </row>
    <row r="47" spans="1:8" ht="54" customHeight="1" x14ac:dyDescent="0.25">
      <c r="A47" s="20" t="s">
        <v>89</v>
      </c>
      <c r="B47" s="12" t="s">
        <v>51</v>
      </c>
      <c r="C47" s="71" t="s">
        <v>24</v>
      </c>
      <c r="D47" s="1">
        <v>10286.43</v>
      </c>
      <c r="E47" s="75">
        <f>2073.876+13673.527+95.736+459.171-40.333</f>
        <v>16261.977000000001</v>
      </c>
      <c r="F47" s="70"/>
    </row>
    <row r="48" spans="1:8" ht="24.95" customHeight="1" x14ac:dyDescent="0.25">
      <c r="A48" s="71" t="s">
        <v>52</v>
      </c>
      <c r="B48" s="12" t="s">
        <v>53</v>
      </c>
      <c r="C48" s="67" t="s">
        <v>54</v>
      </c>
      <c r="D48" s="58">
        <f>60+3</f>
        <v>63</v>
      </c>
      <c r="E48" s="91">
        <f>88+6</f>
        <v>94</v>
      </c>
      <c r="F48" s="70"/>
    </row>
    <row r="49" spans="1:10" ht="104.25" customHeight="1" x14ac:dyDescent="0.25">
      <c r="A49" s="20" t="s">
        <v>90</v>
      </c>
      <c r="B49" s="12" t="s">
        <v>55</v>
      </c>
      <c r="C49" s="88" t="s">
        <v>24</v>
      </c>
      <c r="D49" s="18"/>
      <c r="E49" s="37"/>
      <c r="F49" s="70"/>
    </row>
    <row r="50" spans="1:10" ht="24.95" customHeight="1" x14ac:dyDescent="0.25">
      <c r="A50" s="20" t="s">
        <v>91</v>
      </c>
      <c r="B50" s="12" t="s">
        <v>122</v>
      </c>
      <c r="C50" s="88" t="s">
        <v>24</v>
      </c>
      <c r="D50" s="1">
        <v>2708.402</v>
      </c>
      <c r="E50" s="40">
        <v>2544.933</v>
      </c>
      <c r="F50" s="70"/>
    </row>
    <row r="51" spans="1:10" ht="39" customHeight="1" x14ac:dyDescent="0.25">
      <c r="A51" s="66" t="s">
        <v>92</v>
      </c>
      <c r="B51" s="12" t="s">
        <v>56</v>
      </c>
      <c r="C51" s="88" t="s">
        <v>24</v>
      </c>
      <c r="D51" s="69">
        <v>639.16399999999999</v>
      </c>
      <c r="E51" s="37"/>
      <c r="F51" s="70"/>
    </row>
    <row r="52" spans="1:10" ht="44.25" customHeight="1" x14ac:dyDescent="0.25">
      <c r="A52" s="71" t="s">
        <v>57</v>
      </c>
      <c r="B52" s="12" t="s">
        <v>114</v>
      </c>
      <c r="C52" s="88" t="s">
        <v>24</v>
      </c>
      <c r="D52" s="18">
        <f>D16+D18+D23+D28</f>
        <v>1166.3330000000001</v>
      </c>
      <c r="E52" s="18">
        <f>E16+E18+E23+E28</f>
        <v>4363.0060000000003</v>
      </c>
      <c r="F52" s="70"/>
      <c r="H52" s="2"/>
      <c r="I52" s="2"/>
      <c r="J52" s="2"/>
    </row>
    <row r="53" spans="1:10" ht="39" customHeight="1" x14ac:dyDescent="0.25">
      <c r="A53" s="71" t="s">
        <v>58</v>
      </c>
      <c r="B53" s="13" t="s">
        <v>59</v>
      </c>
      <c r="C53" s="14" t="s">
        <v>24</v>
      </c>
      <c r="D53" s="24">
        <v>24457.556</v>
      </c>
      <c r="E53" s="24">
        <v>30434.027999999998</v>
      </c>
      <c r="F53" s="15"/>
    </row>
    <row r="54" spans="1:10" ht="24.95" customHeight="1" x14ac:dyDescent="0.25">
      <c r="A54" s="152" t="s">
        <v>2</v>
      </c>
      <c r="B54" s="12" t="s">
        <v>60</v>
      </c>
      <c r="C54" s="150" t="s">
        <v>62</v>
      </c>
      <c r="D54" s="156">
        <v>11503.2</v>
      </c>
      <c r="E54" s="157">
        <v>13597.063</v>
      </c>
      <c r="F54" s="155"/>
    </row>
    <row r="55" spans="1:10" ht="24.95" customHeight="1" x14ac:dyDescent="0.25">
      <c r="A55" s="152"/>
      <c r="B55" s="12" t="s">
        <v>61</v>
      </c>
      <c r="C55" s="151"/>
      <c r="D55" s="156"/>
      <c r="E55" s="157"/>
      <c r="F55" s="155"/>
    </row>
    <row r="56" spans="1:10" ht="24.95" customHeight="1" x14ac:dyDescent="0.25">
      <c r="A56" s="152" t="s">
        <v>6</v>
      </c>
      <c r="B56" s="12" t="s">
        <v>60</v>
      </c>
      <c r="C56" s="153" t="s">
        <v>115</v>
      </c>
      <c r="D56" s="154">
        <f>D53/D54*1000</f>
        <v>2126.1523749913067</v>
      </c>
      <c r="E56" s="154">
        <f>E53/E54*1000</f>
        <v>2238.27954610492</v>
      </c>
      <c r="F56" s="155"/>
    </row>
    <row r="57" spans="1:10" ht="37.5" customHeight="1" x14ac:dyDescent="0.25">
      <c r="A57" s="152"/>
      <c r="B57" s="12" t="s">
        <v>63</v>
      </c>
      <c r="C57" s="153"/>
      <c r="D57" s="154"/>
      <c r="E57" s="154"/>
      <c r="F57" s="155"/>
    </row>
    <row r="58" spans="1:10" ht="53.25" customHeight="1" x14ac:dyDescent="0.25">
      <c r="A58" s="71" t="s">
        <v>64</v>
      </c>
      <c r="B58" s="12" t="s">
        <v>65</v>
      </c>
      <c r="C58" s="71" t="s">
        <v>22</v>
      </c>
      <c r="D58" s="71" t="s">
        <v>22</v>
      </c>
      <c r="E58" s="71" t="s">
        <v>22</v>
      </c>
      <c r="F58" s="71" t="s">
        <v>22</v>
      </c>
      <c r="G58" s="43"/>
    </row>
    <row r="59" spans="1:10" ht="29.25" customHeight="1" x14ac:dyDescent="0.25">
      <c r="A59" s="36">
        <v>1</v>
      </c>
      <c r="B59" s="13" t="s">
        <v>134</v>
      </c>
      <c r="C59" s="14" t="s">
        <v>66</v>
      </c>
      <c r="D59" s="90">
        <v>4135</v>
      </c>
      <c r="E59" s="90">
        <v>4211</v>
      </c>
      <c r="F59" s="15"/>
    </row>
    <row r="60" spans="1:10" ht="24.95" customHeight="1" x14ac:dyDescent="0.25">
      <c r="A60" s="36">
        <v>2</v>
      </c>
      <c r="B60" s="13" t="s">
        <v>67</v>
      </c>
      <c r="C60" s="14" t="s">
        <v>68</v>
      </c>
      <c r="D60" s="25">
        <v>120.259</v>
      </c>
      <c r="E60" s="24">
        <v>123.07</v>
      </c>
      <c r="F60" s="15"/>
    </row>
    <row r="61" spans="1:10" ht="24.95" customHeight="1" x14ac:dyDescent="0.25">
      <c r="A61" s="71"/>
      <c r="B61" s="71" t="s">
        <v>116</v>
      </c>
      <c r="C61" s="71" t="s">
        <v>68</v>
      </c>
      <c r="D61" s="86">
        <v>20</v>
      </c>
      <c r="E61" s="91">
        <v>20</v>
      </c>
      <c r="F61" s="69"/>
    </row>
    <row r="62" spans="1:10" ht="37.5" customHeight="1" x14ac:dyDescent="0.25">
      <c r="A62" s="71"/>
      <c r="B62" s="71" t="s">
        <v>117</v>
      </c>
      <c r="C62" s="71" t="s">
        <v>68</v>
      </c>
      <c r="D62" s="86">
        <f>D60-D61</f>
        <v>100.259</v>
      </c>
      <c r="E62" s="91">
        <f>E60-E61</f>
        <v>103.07</v>
      </c>
      <c r="F62" s="69"/>
    </row>
    <row r="63" spans="1:10" ht="24.95" customHeight="1" x14ac:dyDescent="0.25">
      <c r="A63" s="36">
        <v>3</v>
      </c>
      <c r="B63" s="13" t="s">
        <v>69</v>
      </c>
      <c r="C63" s="14" t="s">
        <v>70</v>
      </c>
      <c r="D63" s="24">
        <f>D64+D65+D66</f>
        <v>1066.6690000000001</v>
      </c>
      <c r="E63" s="24">
        <f>E64+E65+E66</f>
        <v>1082.4540000000002</v>
      </c>
      <c r="F63" s="70"/>
      <c r="G63" s="2"/>
      <c r="H63" s="2"/>
    </row>
    <row r="64" spans="1:10" ht="35.25" customHeight="1" x14ac:dyDescent="0.25">
      <c r="A64" s="71"/>
      <c r="B64" s="71" t="s">
        <v>116</v>
      </c>
      <c r="C64" s="71" t="s">
        <v>70</v>
      </c>
      <c r="D64" s="18">
        <f>9.09+3.225</f>
        <v>12.315</v>
      </c>
      <c r="E64" s="89">
        <v>12.315</v>
      </c>
      <c r="F64" s="69"/>
    </row>
    <row r="65" spans="1:7" ht="35.25" customHeight="1" x14ac:dyDescent="0.25">
      <c r="A65" s="71"/>
      <c r="B65" s="71" t="s">
        <v>117</v>
      </c>
      <c r="C65" s="71" t="s">
        <v>70</v>
      </c>
      <c r="D65" s="18">
        <f>610.376</f>
        <v>610.37599999999998</v>
      </c>
      <c r="E65" s="18">
        <v>619.36800000000005</v>
      </c>
      <c r="F65" s="69"/>
    </row>
    <row r="66" spans="1:7" ht="35.25" customHeight="1" x14ac:dyDescent="0.25">
      <c r="A66" s="71"/>
      <c r="B66" s="71" t="s">
        <v>118</v>
      </c>
      <c r="C66" s="71" t="s">
        <v>70</v>
      </c>
      <c r="D66" s="18">
        <f>424.276+19.702</f>
        <v>443.97800000000001</v>
      </c>
      <c r="E66" s="18">
        <v>450.77100000000002</v>
      </c>
      <c r="F66" s="69"/>
    </row>
    <row r="67" spans="1:7" ht="24.95" customHeight="1" x14ac:dyDescent="0.25">
      <c r="A67" s="36">
        <v>4</v>
      </c>
      <c r="B67" s="13" t="s">
        <v>71</v>
      </c>
      <c r="C67" s="14" t="s">
        <v>70</v>
      </c>
      <c r="D67" s="24">
        <f>D68+D69+D70</f>
        <v>1972.7</v>
      </c>
      <c r="E67" s="38">
        <f>E68+E69+E70</f>
        <v>1975</v>
      </c>
      <c r="F67" s="70"/>
      <c r="G67" s="2"/>
    </row>
    <row r="68" spans="1:7" ht="24.95" customHeight="1" x14ac:dyDescent="0.25">
      <c r="A68" s="71"/>
      <c r="B68" s="26" t="s">
        <v>116</v>
      </c>
      <c r="C68" s="67" t="s">
        <v>70</v>
      </c>
      <c r="D68" s="89">
        <v>92</v>
      </c>
      <c r="E68" s="68">
        <v>92</v>
      </c>
      <c r="F68" s="70"/>
    </row>
    <row r="69" spans="1:7" ht="24.95" customHeight="1" x14ac:dyDescent="0.25">
      <c r="A69" s="71"/>
      <c r="B69" s="26" t="s">
        <v>117</v>
      </c>
      <c r="C69" s="67" t="s">
        <v>70</v>
      </c>
      <c r="D69" s="89">
        <v>1880.7</v>
      </c>
      <c r="E69" s="68">
        <v>1883</v>
      </c>
      <c r="F69" s="70"/>
    </row>
    <row r="70" spans="1:7" ht="24.95" customHeight="1" x14ac:dyDescent="0.25">
      <c r="A70" s="71"/>
      <c r="B70" s="26" t="s">
        <v>118</v>
      </c>
      <c r="C70" s="67" t="s">
        <v>70</v>
      </c>
      <c r="D70" s="69"/>
      <c r="E70" s="69"/>
      <c r="F70" s="70"/>
    </row>
    <row r="71" spans="1:7" ht="24.95" customHeight="1" x14ac:dyDescent="0.25">
      <c r="A71" s="36">
        <v>5</v>
      </c>
      <c r="B71" s="13" t="s">
        <v>72</v>
      </c>
      <c r="C71" s="14" t="s">
        <v>73</v>
      </c>
      <c r="D71" s="24">
        <f>D73+D74+D72</f>
        <v>399.75899999999996</v>
      </c>
      <c r="E71" s="24">
        <f>E73+E74+E72</f>
        <v>404.35899999999998</v>
      </c>
      <c r="F71" s="70"/>
      <c r="G71" s="2"/>
    </row>
    <row r="72" spans="1:7" ht="24.95" customHeight="1" x14ac:dyDescent="0.25">
      <c r="A72" s="71"/>
      <c r="B72" s="26" t="s">
        <v>116</v>
      </c>
      <c r="C72" s="67" t="s">
        <v>73</v>
      </c>
      <c r="D72" s="69">
        <v>7.2</v>
      </c>
      <c r="E72" s="69">
        <v>7.2</v>
      </c>
      <c r="F72" s="70"/>
    </row>
    <row r="73" spans="1:7" ht="24.95" customHeight="1" x14ac:dyDescent="0.25">
      <c r="A73" s="71"/>
      <c r="B73" s="26" t="s">
        <v>117</v>
      </c>
      <c r="C73" s="67" t="s">
        <v>73</v>
      </c>
      <c r="D73" s="18">
        <v>224.98400000000001</v>
      </c>
      <c r="E73" s="18">
        <f>84.38+142.501</f>
        <v>226.881</v>
      </c>
      <c r="F73" s="69"/>
    </row>
    <row r="74" spans="1:7" ht="24.95" customHeight="1" x14ac:dyDescent="0.25">
      <c r="A74" s="71"/>
      <c r="B74" s="26" t="s">
        <v>118</v>
      </c>
      <c r="C74" s="67" t="s">
        <v>73</v>
      </c>
      <c r="D74" s="87">
        <f>160.278+7.297</f>
        <v>167.57499999999999</v>
      </c>
      <c r="E74" s="18">
        <v>170.27799999999999</v>
      </c>
      <c r="F74" s="69"/>
    </row>
    <row r="75" spans="1:7" ht="24.95" customHeight="1" x14ac:dyDescent="0.25">
      <c r="A75" s="36">
        <v>6</v>
      </c>
      <c r="B75" s="13" t="s">
        <v>74</v>
      </c>
      <c r="C75" s="14" t="s">
        <v>75</v>
      </c>
      <c r="D75" s="92">
        <f>(139.922+133.879+7.297)/D71*100</f>
        <v>70.316865911711815</v>
      </c>
      <c r="E75" s="92">
        <f>(142.601+141.836)/E71*100</f>
        <v>70.342690529949877</v>
      </c>
      <c r="F75" s="15"/>
    </row>
    <row r="76" spans="1:7" ht="38.25" customHeight="1" x14ac:dyDescent="0.25">
      <c r="A76" s="71">
        <v>7</v>
      </c>
      <c r="B76" s="12" t="s">
        <v>76</v>
      </c>
      <c r="C76" s="88" t="s">
        <v>24</v>
      </c>
      <c r="D76" s="37"/>
      <c r="E76" s="24">
        <f>24745.408+11456.959+739.036</f>
        <v>36941.402999999998</v>
      </c>
      <c r="F76" s="19"/>
    </row>
    <row r="77" spans="1:7" ht="39.75" customHeight="1" x14ac:dyDescent="0.25">
      <c r="A77" s="66" t="s">
        <v>83</v>
      </c>
      <c r="B77" s="12" t="s">
        <v>135</v>
      </c>
      <c r="C77" s="88" t="s">
        <v>24</v>
      </c>
      <c r="D77" s="37"/>
      <c r="E77" s="93">
        <f>2073.876+13673.527+95.736</f>
        <v>15843.139000000001</v>
      </c>
      <c r="F77" s="19"/>
    </row>
    <row r="78" spans="1:7" ht="41.25" customHeight="1" x14ac:dyDescent="0.25">
      <c r="A78" s="27">
        <v>8</v>
      </c>
      <c r="B78" s="69" t="s">
        <v>123</v>
      </c>
      <c r="C78" s="71" t="s">
        <v>75</v>
      </c>
      <c r="D78" s="71" t="s">
        <v>93</v>
      </c>
      <c r="E78" s="71" t="s">
        <v>93</v>
      </c>
      <c r="F78" s="71" t="s">
        <v>93</v>
      </c>
    </row>
    <row r="79" spans="1:7" ht="15.75" x14ac:dyDescent="0.25">
      <c r="A79" s="3"/>
      <c r="B79" s="3"/>
      <c r="C79" s="3"/>
      <c r="D79" s="3"/>
      <c r="E79" s="3"/>
      <c r="F79" s="3"/>
    </row>
    <row r="80" spans="1:7" s="11" customFormat="1" ht="16.5" customHeight="1" x14ac:dyDescent="0.25">
      <c r="B80" s="65" t="s">
        <v>94</v>
      </c>
    </row>
    <row r="81" spans="2:7" s="11" customFormat="1" ht="57.75" customHeight="1" x14ac:dyDescent="0.25">
      <c r="B81" s="158" t="s">
        <v>95</v>
      </c>
      <c r="C81" s="158"/>
      <c r="D81" s="158"/>
      <c r="E81" s="158"/>
      <c r="F81" s="158"/>
    </row>
    <row r="82" spans="2:7" s="11" customFormat="1" ht="30.75" customHeight="1" x14ac:dyDescent="0.25">
      <c r="B82" s="158" t="s">
        <v>96</v>
      </c>
      <c r="C82" s="158"/>
      <c r="D82" s="158"/>
      <c r="E82" s="158"/>
      <c r="F82" s="158"/>
    </row>
    <row r="83" spans="2:7" s="11" customFormat="1" ht="33.75" customHeight="1" x14ac:dyDescent="0.25">
      <c r="B83" s="159" t="s">
        <v>97</v>
      </c>
      <c r="C83" s="159"/>
      <c r="D83" s="159"/>
      <c r="E83" s="159"/>
      <c r="F83" s="159"/>
      <c r="G83" s="11" t="s">
        <v>137</v>
      </c>
    </row>
    <row r="84" spans="2:7" s="11" customFormat="1" ht="34.5" customHeight="1" x14ac:dyDescent="0.25">
      <c r="B84" s="158" t="s">
        <v>98</v>
      </c>
      <c r="C84" s="158"/>
      <c r="D84" s="158"/>
      <c r="E84" s="158"/>
      <c r="F84" s="158"/>
    </row>
    <row r="85" spans="2:7" s="11" customFormat="1" ht="50.1" customHeight="1" x14ac:dyDescent="0.25">
      <c r="B85" s="158" t="s">
        <v>99</v>
      </c>
      <c r="C85" s="158"/>
      <c r="D85" s="158"/>
      <c r="E85" s="158"/>
      <c r="F85" s="158"/>
    </row>
    <row r="86" spans="2:7" x14ac:dyDescent="0.25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K86"/>
  <sheetViews>
    <sheetView topLeftCell="A64" workbookViewId="0">
      <selection activeCell="B7" sqref="B7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 x14ac:dyDescent="0.25">
      <c r="A1" s="3"/>
      <c r="B1" s="3"/>
      <c r="C1" s="3" t="s">
        <v>77</v>
      </c>
      <c r="D1" s="3"/>
      <c r="E1" s="3"/>
      <c r="F1" s="3"/>
    </row>
    <row r="2" spans="1:11" ht="51" customHeight="1" x14ac:dyDescent="0.25">
      <c r="A2" s="3"/>
      <c r="B2" s="3"/>
      <c r="C2" s="145" t="s">
        <v>78</v>
      </c>
      <c r="D2" s="145"/>
      <c r="E2" s="145"/>
      <c r="F2" s="145"/>
    </row>
    <row r="3" spans="1:11" ht="69.75" customHeight="1" x14ac:dyDescent="0.25">
      <c r="A3" s="146" t="s">
        <v>79</v>
      </c>
      <c r="B3" s="146"/>
      <c r="C3" s="146"/>
      <c r="D3" s="146"/>
      <c r="E3" s="146"/>
      <c r="F3" s="146"/>
    </row>
    <row r="4" spans="1:11" ht="38.25" customHeight="1" x14ac:dyDescent="0.3">
      <c r="A4" s="6" t="s">
        <v>80</v>
      </c>
      <c r="B4" s="6"/>
      <c r="C4" s="7"/>
      <c r="D4" s="5"/>
      <c r="E4" s="5"/>
      <c r="F4" s="5"/>
    </row>
    <row r="5" spans="1:11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 x14ac:dyDescent="0.3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 x14ac:dyDescent="0.3">
      <c r="A7" s="8" t="s">
        <v>131</v>
      </c>
      <c r="B7" s="8"/>
      <c r="C7" s="9"/>
      <c r="D7" s="35"/>
      <c r="E7" s="4"/>
      <c r="F7" s="4"/>
    </row>
    <row r="8" spans="1:11" ht="15.75" x14ac:dyDescent="0.25">
      <c r="A8" s="3"/>
      <c r="B8" s="3"/>
      <c r="C8" s="3"/>
      <c r="D8" s="3"/>
      <c r="E8" s="3"/>
      <c r="F8" s="3"/>
    </row>
    <row r="9" spans="1:11" ht="15.75" x14ac:dyDescent="0.25">
      <c r="A9" s="147" t="s">
        <v>18</v>
      </c>
      <c r="B9" s="147" t="s">
        <v>0</v>
      </c>
      <c r="C9" s="147" t="s">
        <v>19</v>
      </c>
      <c r="D9" s="160" t="s">
        <v>133</v>
      </c>
      <c r="E9" s="161"/>
      <c r="F9" s="150" t="s">
        <v>1</v>
      </c>
    </row>
    <row r="10" spans="1:11" ht="42.75" customHeight="1" x14ac:dyDescent="0.25">
      <c r="A10" s="147"/>
      <c r="B10" s="147"/>
      <c r="C10" s="147"/>
      <c r="D10" s="78" t="s">
        <v>124</v>
      </c>
      <c r="E10" s="78" t="s">
        <v>84</v>
      </c>
      <c r="F10" s="151"/>
    </row>
    <row r="11" spans="1:11" ht="24.75" customHeight="1" x14ac:dyDescent="0.25">
      <c r="A11" s="80" t="s">
        <v>20</v>
      </c>
      <c r="B11" s="12" t="s">
        <v>21</v>
      </c>
      <c r="C11" s="80" t="s">
        <v>22</v>
      </c>
      <c r="D11" s="80" t="s">
        <v>22</v>
      </c>
      <c r="E11" s="80" t="s">
        <v>22</v>
      </c>
      <c r="F11" s="80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 x14ac:dyDescent="0.25">
      <c r="A12" s="80">
        <v>1</v>
      </c>
      <c r="B12" s="13" t="s">
        <v>23</v>
      </c>
      <c r="C12" s="14" t="s">
        <v>24</v>
      </c>
      <c r="D12" s="24">
        <f>D13+D37+D51</f>
        <v>181029.198</v>
      </c>
      <c r="E12" s="85">
        <f>E13+E37+E51</f>
        <v>193417.10829</v>
      </c>
      <c r="F12" s="15"/>
      <c r="G12" s="74">
        <v>193417.13699999999</v>
      </c>
      <c r="H12" s="63"/>
      <c r="I12" s="63"/>
      <c r="J12" s="60"/>
      <c r="K12" s="2"/>
    </row>
    <row r="13" spans="1:11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97430.863999999987</v>
      </c>
      <c r="E13" s="24">
        <f>E14+E19+E24+E35+E36</f>
        <v>113039.62899999999</v>
      </c>
      <c r="F13" s="15"/>
      <c r="G13" s="2"/>
      <c r="H13" s="2"/>
      <c r="I13" s="61"/>
    </row>
    <row r="14" spans="1:11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3320.9769999999999</v>
      </c>
      <c r="E14" s="24">
        <f>E15+E17</f>
        <v>4930.6239999999998</v>
      </c>
      <c r="F14" s="15"/>
      <c r="G14" s="2"/>
      <c r="H14" s="2"/>
      <c r="I14" s="2"/>
    </row>
    <row r="15" spans="1:11" ht="24.95" customHeight="1" x14ac:dyDescent="0.25">
      <c r="A15" s="80" t="s">
        <v>27</v>
      </c>
      <c r="B15" s="12" t="s">
        <v>28</v>
      </c>
      <c r="C15" s="80" t="s">
        <v>24</v>
      </c>
      <c r="D15" s="18">
        <v>3183.8620000000001</v>
      </c>
      <c r="E15" s="18">
        <v>3892.337</v>
      </c>
      <c r="F15" s="81"/>
      <c r="G15" s="2"/>
      <c r="I15" s="2"/>
    </row>
    <row r="16" spans="1:11" ht="24.95" customHeight="1" x14ac:dyDescent="0.25">
      <c r="A16" s="80" t="s">
        <v>29</v>
      </c>
      <c r="B16" s="26" t="s">
        <v>33</v>
      </c>
      <c r="C16" s="80" t="s">
        <v>24</v>
      </c>
      <c r="D16" s="28"/>
      <c r="E16" s="18"/>
      <c r="F16" s="81"/>
      <c r="G16" s="2"/>
      <c r="H16" s="2"/>
      <c r="I16" s="2"/>
      <c r="J16" s="2"/>
    </row>
    <row r="17" spans="1:9" ht="51" customHeight="1" x14ac:dyDescent="0.25">
      <c r="A17" s="80" t="s">
        <v>30</v>
      </c>
      <c r="B17" s="12" t="s">
        <v>31</v>
      </c>
      <c r="C17" s="80" t="s">
        <v>24</v>
      </c>
      <c r="D17" s="28">
        <v>137.11500000000001</v>
      </c>
      <c r="E17" s="18">
        <f>228.084+105.634+216.667+487.902</f>
        <v>1038.287</v>
      </c>
      <c r="F17" s="81"/>
      <c r="G17" s="2"/>
      <c r="I17" s="2"/>
    </row>
    <row r="18" spans="1:9" ht="24.95" customHeight="1" x14ac:dyDescent="0.25">
      <c r="A18" s="80" t="s">
        <v>32</v>
      </c>
      <c r="B18" s="26" t="s">
        <v>33</v>
      </c>
      <c r="C18" s="80" t="s">
        <v>24</v>
      </c>
      <c r="D18" s="18"/>
      <c r="E18" s="37"/>
      <c r="F18" s="81"/>
      <c r="I18" s="2"/>
    </row>
    <row r="19" spans="1:9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81746.193999999989</v>
      </c>
      <c r="E19" s="24">
        <f>E20+E21+E22</f>
        <v>84490.087</v>
      </c>
      <c r="F19" s="15"/>
      <c r="G19" s="62"/>
      <c r="H19" s="62"/>
      <c r="I19" s="62"/>
    </row>
    <row r="20" spans="1:9" ht="24.95" customHeight="1" outlineLevel="1" x14ac:dyDescent="0.25">
      <c r="A20" s="29"/>
      <c r="B20" s="30" t="s">
        <v>119</v>
      </c>
      <c r="C20" s="31" t="s">
        <v>24</v>
      </c>
      <c r="D20" s="32">
        <v>80559.885999999999</v>
      </c>
      <c r="E20" s="32">
        <v>82705.804000000004</v>
      </c>
      <c r="F20" s="33"/>
    </row>
    <row r="21" spans="1:9" ht="24.95" customHeight="1" outlineLevel="1" x14ac:dyDescent="0.25">
      <c r="A21" s="29"/>
      <c r="B21" s="30" t="s">
        <v>120</v>
      </c>
      <c r="C21" s="31" t="s">
        <v>24</v>
      </c>
      <c r="D21" s="32">
        <v>1184.6010000000001</v>
      </c>
      <c r="E21" s="32">
        <v>1177.6859999999999</v>
      </c>
      <c r="F21" s="34"/>
    </row>
    <row r="22" spans="1:9" ht="24.95" customHeight="1" outlineLevel="1" x14ac:dyDescent="0.25">
      <c r="A22" s="29"/>
      <c r="B22" s="30" t="s">
        <v>121</v>
      </c>
      <c r="C22" s="31" t="s">
        <v>24</v>
      </c>
      <c r="D22" s="32">
        <v>1.7070000000000001</v>
      </c>
      <c r="E22" s="32">
        <f>605.477+1.12</f>
        <v>606.59699999999998</v>
      </c>
      <c r="F22" s="34"/>
    </row>
    <row r="23" spans="1:9" ht="24.95" customHeight="1" x14ac:dyDescent="0.25">
      <c r="A23" s="77" t="s">
        <v>34</v>
      </c>
      <c r="B23" s="26" t="s">
        <v>33</v>
      </c>
      <c r="C23" s="80" t="s">
        <v>24</v>
      </c>
      <c r="D23" s="18"/>
      <c r="E23" s="18"/>
      <c r="F23" s="81"/>
    </row>
    <row r="24" spans="1:9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12363.692999999999</v>
      </c>
      <c r="E24" s="24">
        <f>E25+E26+E27</f>
        <v>23618.917999999998</v>
      </c>
      <c r="F24" s="81"/>
    </row>
    <row r="25" spans="1:9" ht="34.5" customHeight="1" x14ac:dyDescent="0.25">
      <c r="A25" s="77" t="s">
        <v>36</v>
      </c>
      <c r="B25" s="12" t="s">
        <v>37</v>
      </c>
      <c r="C25" s="80" t="s">
        <v>24</v>
      </c>
      <c r="D25" s="18">
        <v>325.63799999999998</v>
      </c>
      <c r="E25" s="18">
        <v>377.036</v>
      </c>
      <c r="F25" s="81"/>
      <c r="G25" s="44"/>
    </row>
    <row r="26" spans="1:9" ht="24.95" customHeight="1" x14ac:dyDescent="0.25">
      <c r="A26" s="77" t="s">
        <v>38</v>
      </c>
      <c r="B26" s="12" t="s">
        <v>39</v>
      </c>
      <c r="C26" s="80" t="s">
        <v>24</v>
      </c>
      <c r="D26" s="28">
        <v>481.55900000000003</v>
      </c>
      <c r="E26" s="28">
        <f>499.371+47.033</f>
        <v>546.404</v>
      </c>
      <c r="F26" s="81"/>
    </row>
    <row r="27" spans="1:9" ht="24.95" customHeight="1" x14ac:dyDescent="0.25">
      <c r="A27" s="77" t="s">
        <v>40</v>
      </c>
      <c r="B27" s="21" t="s">
        <v>41</v>
      </c>
      <c r="C27" s="80" t="s">
        <v>24</v>
      </c>
      <c r="D27" s="18">
        <f>SUM(D28:D34)</f>
        <v>11556.495999999999</v>
      </c>
      <c r="E27" s="18">
        <f>SUM(E28:E34)</f>
        <v>22695.477999999999</v>
      </c>
      <c r="F27" s="81"/>
    </row>
    <row r="28" spans="1:9" ht="40.5" customHeight="1" x14ac:dyDescent="0.25">
      <c r="A28" s="77" t="s">
        <v>100</v>
      </c>
      <c r="B28" s="41" t="s">
        <v>101</v>
      </c>
      <c r="C28" s="77" t="s">
        <v>24</v>
      </c>
      <c r="D28" s="18">
        <v>1152.1769999999999</v>
      </c>
      <c r="E28" s="18">
        <v>3555.3310000000001</v>
      </c>
      <c r="F28" s="81"/>
    </row>
    <row r="29" spans="1:9" ht="24.95" customHeight="1" x14ac:dyDescent="0.25">
      <c r="A29" s="77" t="s">
        <v>102</v>
      </c>
      <c r="B29" s="12" t="s">
        <v>103</v>
      </c>
      <c r="C29" s="77" t="s">
        <v>24</v>
      </c>
      <c r="D29" s="57">
        <f>1846.977-481.559</f>
        <v>1365.4180000000001</v>
      </c>
      <c r="E29" s="64">
        <f>568.567+153.129+296.365</f>
        <v>1018.061</v>
      </c>
      <c r="F29" s="81"/>
    </row>
    <row r="30" spans="1:9" ht="24.95" customHeight="1" x14ac:dyDescent="0.25">
      <c r="A30" s="77" t="s">
        <v>107</v>
      </c>
      <c r="B30" s="12" t="s">
        <v>104</v>
      </c>
      <c r="C30" s="77" t="s">
        <v>24</v>
      </c>
      <c r="D30" s="18">
        <v>0</v>
      </c>
      <c r="E30" s="18">
        <v>53.095999999999997</v>
      </c>
      <c r="F30" s="81"/>
    </row>
    <row r="31" spans="1:9" ht="24.95" customHeight="1" x14ac:dyDescent="0.25">
      <c r="A31" s="77" t="s">
        <v>108</v>
      </c>
      <c r="B31" s="12" t="s">
        <v>105</v>
      </c>
      <c r="C31" s="77" t="s">
        <v>24</v>
      </c>
      <c r="D31" s="18">
        <v>106.747</v>
      </c>
      <c r="E31" s="18">
        <v>142.63999999999999</v>
      </c>
      <c r="F31" s="81"/>
    </row>
    <row r="32" spans="1:9" ht="34.5" customHeight="1" x14ac:dyDescent="0.25">
      <c r="A32" s="77" t="s">
        <v>109</v>
      </c>
      <c r="B32" s="22" t="s">
        <v>106</v>
      </c>
      <c r="C32" s="77" t="s">
        <v>24</v>
      </c>
      <c r="D32" s="18">
        <v>1507.9649999999999</v>
      </c>
      <c r="E32" s="18">
        <v>2106.873</v>
      </c>
      <c r="F32" s="81"/>
    </row>
    <row r="33" spans="1:8" ht="34.5" customHeight="1" x14ac:dyDescent="0.25">
      <c r="A33" s="77" t="s">
        <v>110</v>
      </c>
      <c r="B33" s="22" t="s">
        <v>112</v>
      </c>
      <c r="C33" s="77" t="s">
        <v>24</v>
      </c>
      <c r="D33" s="18">
        <v>256.44799999999998</v>
      </c>
      <c r="E33" s="18">
        <v>192.08199999999999</v>
      </c>
      <c r="F33" s="81"/>
    </row>
    <row r="34" spans="1:8" ht="24.95" customHeight="1" x14ac:dyDescent="0.25">
      <c r="A34" s="77" t="s">
        <v>111</v>
      </c>
      <c r="B34" s="12" t="s">
        <v>113</v>
      </c>
      <c r="C34" s="77" t="s">
        <v>24</v>
      </c>
      <c r="D34" s="18">
        <v>7167.741</v>
      </c>
      <c r="E34" s="18">
        <f>15272.981+125.078+(40.773+686.157-497.594)</f>
        <v>15627.394999999999</v>
      </c>
      <c r="F34" s="81"/>
    </row>
    <row r="35" spans="1:8" ht="36.75" customHeight="1" x14ac:dyDescent="0.25">
      <c r="A35" s="20" t="s">
        <v>85</v>
      </c>
      <c r="B35" s="12" t="s">
        <v>42</v>
      </c>
      <c r="C35" s="80" t="s">
        <v>24</v>
      </c>
      <c r="D35" s="18"/>
      <c r="E35" s="28"/>
      <c r="F35" s="81"/>
    </row>
    <row r="36" spans="1:8" ht="24.95" customHeight="1" x14ac:dyDescent="0.25">
      <c r="A36" s="20" t="s">
        <v>86</v>
      </c>
      <c r="B36" s="12" t="s">
        <v>43</v>
      </c>
      <c r="C36" s="80" t="s">
        <v>24</v>
      </c>
      <c r="D36" s="18"/>
      <c r="E36" s="28"/>
      <c r="F36" s="81"/>
    </row>
    <row r="37" spans="1:8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93222.929000000004</v>
      </c>
      <c r="E37" s="24">
        <f>SUM(E38:E47)+E49+E50</f>
        <v>80377.479290000003</v>
      </c>
      <c r="F37" s="25"/>
    </row>
    <row r="38" spans="1:8" ht="24.95" customHeight="1" x14ac:dyDescent="0.25">
      <c r="A38" s="20" t="s">
        <v>7</v>
      </c>
      <c r="B38" s="12" t="s">
        <v>45</v>
      </c>
      <c r="C38" s="80" t="s">
        <v>24</v>
      </c>
      <c r="D38" s="18"/>
      <c r="E38" s="37"/>
      <c r="F38" s="81"/>
    </row>
    <row r="39" spans="1:8" ht="33.75" customHeight="1" x14ac:dyDescent="0.25">
      <c r="A39" s="20" t="s">
        <v>8</v>
      </c>
      <c r="B39" s="12" t="s">
        <v>46</v>
      </c>
      <c r="C39" s="80" t="s">
        <v>24</v>
      </c>
      <c r="D39" s="18"/>
      <c r="E39" s="37"/>
      <c r="F39" s="81"/>
    </row>
    <row r="40" spans="1:8" ht="24.95" customHeight="1" x14ac:dyDescent="0.25">
      <c r="A40" s="20" t="s">
        <v>11</v>
      </c>
      <c r="B40" s="12" t="s">
        <v>47</v>
      </c>
      <c r="C40" s="80" t="s">
        <v>24</v>
      </c>
      <c r="D40" s="1">
        <v>29529.725999999999</v>
      </c>
      <c r="E40" s="40">
        <f>28330.023+588.622</f>
        <v>28918.645</v>
      </c>
      <c r="F40" s="81"/>
    </row>
    <row r="41" spans="1:8" ht="24.95" customHeight="1" x14ac:dyDescent="0.25">
      <c r="A41" s="20" t="s">
        <v>12</v>
      </c>
      <c r="B41" s="12" t="s">
        <v>10</v>
      </c>
      <c r="C41" s="80" t="s">
        <v>24</v>
      </c>
      <c r="D41" s="1">
        <v>24139.651999999998</v>
      </c>
      <c r="E41" s="40">
        <v>24932.556</v>
      </c>
      <c r="F41" s="81"/>
    </row>
    <row r="42" spans="1:8" ht="36.75" customHeight="1" x14ac:dyDescent="0.25">
      <c r="A42" s="20" t="s">
        <v>14</v>
      </c>
      <c r="B42" s="12" t="s">
        <v>48</v>
      </c>
      <c r="C42" s="80" t="s">
        <v>24</v>
      </c>
      <c r="D42" s="18"/>
      <c r="E42" s="37"/>
      <c r="F42" s="81"/>
    </row>
    <row r="43" spans="1:8" ht="24.95" customHeight="1" x14ac:dyDescent="0.25">
      <c r="A43" s="20" t="s">
        <v>16</v>
      </c>
      <c r="B43" s="12" t="s">
        <v>49</v>
      </c>
      <c r="C43" s="80" t="s">
        <v>24</v>
      </c>
      <c r="D43" s="1">
        <v>3720.0720000000001</v>
      </c>
      <c r="E43" s="40">
        <v>6251.63</v>
      </c>
      <c r="F43" s="81"/>
      <c r="G43" s="2"/>
    </row>
    <row r="44" spans="1:8" ht="24.95" customHeight="1" x14ac:dyDescent="0.25">
      <c r="A44" s="20" t="s">
        <v>17</v>
      </c>
      <c r="B44" s="12" t="s">
        <v>50</v>
      </c>
      <c r="C44" s="80" t="s">
        <v>24</v>
      </c>
      <c r="D44" s="18">
        <v>22097</v>
      </c>
      <c r="E44" s="18">
        <v>14171</v>
      </c>
      <c r="F44" s="55" t="s">
        <v>129</v>
      </c>
      <c r="G44" s="2"/>
      <c r="H44" s="2"/>
    </row>
    <row r="45" spans="1:8" ht="24.95" customHeight="1" x14ac:dyDescent="0.25">
      <c r="A45" s="20" t="s">
        <v>88</v>
      </c>
      <c r="B45" s="12" t="s">
        <v>13</v>
      </c>
      <c r="C45" s="80" t="s">
        <v>24</v>
      </c>
      <c r="D45" s="1">
        <v>0</v>
      </c>
      <c r="E45" s="40">
        <v>0</v>
      </c>
      <c r="F45" s="81"/>
    </row>
    <row r="46" spans="1:8" ht="24.95" customHeight="1" x14ac:dyDescent="0.25">
      <c r="A46" s="20" t="s">
        <v>87</v>
      </c>
      <c r="B46" s="12" t="s">
        <v>15</v>
      </c>
      <c r="C46" s="80" t="s">
        <v>24</v>
      </c>
      <c r="D46" s="1">
        <v>607.19500000000005</v>
      </c>
      <c r="E46" s="40">
        <v>175.31399999999999</v>
      </c>
      <c r="F46" s="81"/>
    </row>
    <row r="47" spans="1:8" ht="54" customHeight="1" x14ac:dyDescent="0.25">
      <c r="A47" s="20" t="s">
        <v>89</v>
      </c>
      <c r="B47" s="12" t="s">
        <v>51</v>
      </c>
      <c r="C47" s="77" t="s">
        <v>24</v>
      </c>
      <c r="D47" s="1">
        <v>10124.39</v>
      </c>
      <c r="E47" s="75">
        <f>1977.376+833.99+334.386-(0.45833*87)</f>
        <v>3105.8772899999999</v>
      </c>
      <c r="F47" s="81"/>
    </row>
    <row r="48" spans="1:8" ht="24.95" customHeight="1" x14ac:dyDescent="0.25">
      <c r="A48" s="77" t="s">
        <v>52</v>
      </c>
      <c r="B48" s="12" t="s">
        <v>53</v>
      </c>
      <c r="C48" s="80" t="s">
        <v>54</v>
      </c>
      <c r="D48" s="58">
        <v>82</v>
      </c>
      <c r="E48" s="83">
        <v>87</v>
      </c>
      <c r="F48" s="81"/>
    </row>
    <row r="49" spans="1:10" ht="104.25" customHeight="1" x14ac:dyDescent="0.25">
      <c r="A49" s="20" t="s">
        <v>90</v>
      </c>
      <c r="B49" s="12" t="s">
        <v>55</v>
      </c>
      <c r="C49" s="80" t="s">
        <v>24</v>
      </c>
      <c r="D49" s="18"/>
      <c r="E49" s="37"/>
      <c r="F49" s="81"/>
    </row>
    <row r="50" spans="1:10" ht="24.95" customHeight="1" x14ac:dyDescent="0.25">
      <c r="A50" s="20" t="s">
        <v>91</v>
      </c>
      <c r="B50" s="12" t="s">
        <v>122</v>
      </c>
      <c r="C50" s="80" t="s">
        <v>24</v>
      </c>
      <c r="D50" s="1">
        <v>3004.8939999999998</v>
      </c>
      <c r="E50" s="40">
        <v>2822.4569999999999</v>
      </c>
      <c r="F50" s="81"/>
    </row>
    <row r="51" spans="1:10" ht="39" customHeight="1" x14ac:dyDescent="0.25">
      <c r="A51" s="79" t="s">
        <v>92</v>
      </c>
      <c r="B51" s="12" t="s">
        <v>56</v>
      </c>
      <c r="C51" s="80" t="s">
        <v>24</v>
      </c>
      <c r="D51" s="83">
        <v>-9624.5949999999993</v>
      </c>
      <c r="E51" s="37"/>
      <c r="F51" s="81"/>
    </row>
    <row r="52" spans="1:10" ht="44.25" customHeight="1" x14ac:dyDescent="0.25">
      <c r="A52" s="77" t="s">
        <v>57</v>
      </c>
      <c r="B52" s="12" t="s">
        <v>114</v>
      </c>
      <c r="C52" s="80" t="s">
        <v>24</v>
      </c>
      <c r="D52" s="18">
        <f>D16+D18+D23+D28</f>
        <v>1152.1769999999999</v>
      </c>
      <c r="E52" s="18">
        <f>E16+E18+E23+E28</f>
        <v>3555.3310000000001</v>
      </c>
      <c r="F52" s="81"/>
      <c r="H52" s="2"/>
      <c r="I52" s="2"/>
      <c r="J52" s="2"/>
    </row>
    <row r="53" spans="1:10" ht="39" customHeight="1" x14ac:dyDescent="0.25">
      <c r="A53" s="77" t="s">
        <v>58</v>
      </c>
      <c r="B53" s="13" t="s">
        <v>59</v>
      </c>
      <c r="C53" s="14" t="s">
        <v>24</v>
      </c>
      <c r="D53" s="24">
        <v>23584.92</v>
      </c>
      <c r="E53" s="24">
        <v>31213.435000000001</v>
      </c>
      <c r="F53" s="15"/>
    </row>
    <row r="54" spans="1:10" ht="24.95" customHeight="1" x14ac:dyDescent="0.25">
      <c r="A54" s="152" t="s">
        <v>2</v>
      </c>
      <c r="B54" s="12" t="s">
        <v>60</v>
      </c>
      <c r="C54" s="153" t="s">
        <v>62</v>
      </c>
      <c r="D54" s="162">
        <v>11553</v>
      </c>
      <c r="E54" s="157">
        <v>13773.293</v>
      </c>
      <c r="F54" s="155"/>
    </row>
    <row r="55" spans="1:10" ht="24.95" customHeight="1" x14ac:dyDescent="0.25">
      <c r="A55" s="152"/>
      <c r="B55" s="12" t="s">
        <v>61</v>
      </c>
      <c r="C55" s="153"/>
      <c r="D55" s="162"/>
      <c r="E55" s="157"/>
      <c r="F55" s="155"/>
    </row>
    <row r="56" spans="1:10" ht="24.95" customHeight="1" x14ac:dyDescent="0.25">
      <c r="A56" s="152" t="s">
        <v>6</v>
      </c>
      <c r="B56" s="12" t="s">
        <v>60</v>
      </c>
      <c r="C56" s="153" t="s">
        <v>115</v>
      </c>
      <c r="D56" s="154">
        <f>D53/D54*1000</f>
        <v>2041.4541677486366</v>
      </c>
      <c r="E56" s="154">
        <f>E53/E54*1000</f>
        <v>2266.2289257913849</v>
      </c>
      <c r="F56" s="155"/>
    </row>
    <row r="57" spans="1:10" ht="37.5" customHeight="1" x14ac:dyDescent="0.25">
      <c r="A57" s="152"/>
      <c r="B57" s="12" t="s">
        <v>63</v>
      </c>
      <c r="C57" s="153"/>
      <c r="D57" s="154"/>
      <c r="E57" s="154"/>
      <c r="F57" s="155"/>
    </row>
    <row r="58" spans="1:10" ht="53.25" customHeight="1" x14ac:dyDescent="0.25">
      <c r="A58" s="77" t="s">
        <v>64</v>
      </c>
      <c r="B58" s="12" t="s">
        <v>65</v>
      </c>
      <c r="C58" s="77" t="s">
        <v>22</v>
      </c>
      <c r="D58" s="77" t="s">
        <v>22</v>
      </c>
      <c r="E58" s="77" t="s">
        <v>22</v>
      </c>
      <c r="F58" s="77" t="s">
        <v>22</v>
      </c>
      <c r="G58" s="43"/>
    </row>
    <row r="59" spans="1:10" ht="29.25" customHeight="1" x14ac:dyDescent="0.25">
      <c r="A59" s="36">
        <v>1</v>
      </c>
      <c r="B59" s="13" t="s">
        <v>134</v>
      </c>
      <c r="C59" s="14" t="s">
        <v>66</v>
      </c>
      <c r="D59" s="59">
        <v>4126</v>
      </c>
      <c r="E59" s="59">
        <v>4135</v>
      </c>
      <c r="F59" s="15"/>
    </row>
    <row r="60" spans="1:10" ht="24.95" customHeight="1" x14ac:dyDescent="0.25">
      <c r="A60" s="36">
        <v>2</v>
      </c>
      <c r="B60" s="13" t="s">
        <v>67</v>
      </c>
      <c r="C60" s="14" t="s">
        <v>68</v>
      </c>
      <c r="D60" s="25">
        <v>116.134</v>
      </c>
      <c r="E60" s="25">
        <v>120.259</v>
      </c>
      <c r="F60" s="15"/>
    </row>
    <row r="61" spans="1:10" ht="24.95" customHeight="1" x14ac:dyDescent="0.25">
      <c r="A61" s="77"/>
      <c r="B61" s="77" t="s">
        <v>116</v>
      </c>
      <c r="C61" s="77" t="s">
        <v>68</v>
      </c>
      <c r="D61" s="83">
        <v>20</v>
      </c>
      <c r="E61" s="83">
        <v>20</v>
      </c>
      <c r="F61" s="83"/>
    </row>
    <row r="62" spans="1:10" ht="37.5" customHeight="1" x14ac:dyDescent="0.25">
      <c r="A62" s="77"/>
      <c r="B62" s="77" t="s">
        <v>117</v>
      </c>
      <c r="C62" s="77" t="s">
        <v>68</v>
      </c>
      <c r="D62" s="83">
        <f>D60-D61</f>
        <v>96.134</v>
      </c>
      <c r="E62" s="83">
        <f>E60-E61</f>
        <v>100.259</v>
      </c>
      <c r="F62" s="83"/>
    </row>
    <row r="63" spans="1:10" ht="24.95" customHeight="1" x14ac:dyDescent="0.25">
      <c r="A63" s="77">
        <v>3</v>
      </c>
      <c r="B63" s="13" t="s">
        <v>69</v>
      </c>
      <c r="C63" s="14" t="s">
        <v>70</v>
      </c>
      <c r="D63" s="24">
        <f>D64+D65+D66</f>
        <v>1029.31</v>
      </c>
      <c r="E63" s="24">
        <f>E64+E65+E66</f>
        <v>1031.875</v>
      </c>
      <c r="F63" s="81"/>
      <c r="G63" s="2"/>
      <c r="H63" s="2"/>
    </row>
    <row r="64" spans="1:10" ht="35.25" customHeight="1" x14ac:dyDescent="0.25">
      <c r="A64" s="77"/>
      <c r="B64" s="77" t="s">
        <v>116</v>
      </c>
      <c r="C64" s="77" t="s">
        <v>70</v>
      </c>
      <c r="D64" s="18"/>
      <c r="E64" s="39"/>
      <c r="F64" s="83"/>
    </row>
    <row r="65" spans="1:7" ht="35.25" customHeight="1" x14ac:dyDescent="0.25">
      <c r="A65" s="77"/>
      <c r="B65" s="77" t="s">
        <v>117</v>
      </c>
      <c r="C65" s="77" t="s">
        <v>70</v>
      </c>
      <c r="D65" s="18">
        <v>607.52599999999995</v>
      </c>
      <c r="E65" s="18">
        <v>606.14200000000005</v>
      </c>
      <c r="F65" s="83"/>
    </row>
    <row r="66" spans="1:7" ht="35.25" customHeight="1" x14ac:dyDescent="0.25">
      <c r="A66" s="77"/>
      <c r="B66" s="77" t="s">
        <v>118</v>
      </c>
      <c r="C66" s="77" t="s">
        <v>70</v>
      </c>
      <c r="D66" s="18">
        <v>421.78399999999999</v>
      </c>
      <c r="E66" s="18">
        <v>425.733</v>
      </c>
      <c r="F66" s="83"/>
    </row>
    <row r="67" spans="1:7" ht="24.95" customHeight="1" x14ac:dyDescent="0.25">
      <c r="A67" s="77">
        <v>4</v>
      </c>
      <c r="B67" s="13" t="s">
        <v>71</v>
      </c>
      <c r="C67" s="14" t="s">
        <v>70</v>
      </c>
      <c r="D67" s="38">
        <f>D68+D69+D70</f>
        <v>1957.5</v>
      </c>
      <c r="E67" s="38">
        <f>E68+E69+E70</f>
        <v>1968.1</v>
      </c>
      <c r="F67" s="81"/>
    </row>
    <row r="68" spans="1:7" ht="24.95" customHeight="1" x14ac:dyDescent="0.25">
      <c r="A68" s="77"/>
      <c r="B68" s="26" t="s">
        <v>116</v>
      </c>
      <c r="C68" s="80" t="s">
        <v>70</v>
      </c>
      <c r="D68" s="39">
        <v>92</v>
      </c>
      <c r="E68" s="82">
        <v>92</v>
      </c>
      <c r="F68" s="81"/>
    </row>
    <row r="69" spans="1:7" ht="24.95" customHeight="1" x14ac:dyDescent="0.25">
      <c r="A69" s="77"/>
      <c r="B69" s="26" t="s">
        <v>117</v>
      </c>
      <c r="C69" s="80" t="s">
        <v>70</v>
      </c>
      <c r="D69" s="82">
        <v>1865.5</v>
      </c>
      <c r="E69" s="82">
        <v>1876.1</v>
      </c>
      <c r="F69" s="81"/>
    </row>
    <row r="70" spans="1:7" ht="24.95" customHeight="1" x14ac:dyDescent="0.25">
      <c r="A70" s="77"/>
      <c r="B70" s="26" t="s">
        <v>118</v>
      </c>
      <c r="C70" s="80" t="s">
        <v>70</v>
      </c>
      <c r="D70" s="83"/>
      <c r="E70" s="83"/>
      <c r="F70" s="81"/>
    </row>
    <row r="71" spans="1:7" ht="24.95" customHeight="1" x14ac:dyDescent="0.25">
      <c r="A71" s="77">
        <v>5</v>
      </c>
      <c r="B71" s="13" t="s">
        <v>72</v>
      </c>
      <c r="C71" s="14" t="s">
        <v>73</v>
      </c>
      <c r="D71" s="25">
        <f>D73+D74</f>
        <v>382.17899999999997</v>
      </c>
      <c r="E71" s="24">
        <f>E73+E74</f>
        <v>383.26599999999996</v>
      </c>
      <c r="F71" s="81"/>
      <c r="G71" s="2"/>
    </row>
    <row r="72" spans="1:7" ht="24.95" customHeight="1" x14ac:dyDescent="0.25">
      <c r="A72" s="77"/>
      <c r="B72" s="26" t="s">
        <v>116</v>
      </c>
      <c r="C72" s="80" t="s">
        <v>73</v>
      </c>
      <c r="D72" s="83"/>
      <c r="E72" s="83"/>
      <c r="F72" s="81"/>
    </row>
    <row r="73" spans="1:7" ht="24.95" customHeight="1" x14ac:dyDescent="0.25">
      <c r="A73" s="77"/>
      <c r="B73" s="26" t="s">
        <v>117</v>
      </c>
      <c r="C73" s="80" t="s">
        <v>73</v>
      </c>
      <c r="D73" s="18">
        <v>222.90299999999999</v>
      </c>
      <c r="E73" s="18">
        <v>222.43799999999999</v>
      </c>
      <c r="F73" s="83"/>
    </row>
    <row r="74" spans="1:7" ht="24.95" customHeight="1" x14ac:dyDescent="0.25">
      <c r="A74" s="77"/>
      <c r="B74" s="26" t="s">
        <v>118</v>
      </c>
      <c r="C74" s="80" t="s">
        <v>73</v>
      </c>
      <c r="D74" s="83">
        <v>159.27600000000001</v>
      </c>
      <c r="E74" s="18">
        <v>160.828</v>
      </c>
      <c r="F74" s="83"/>
    </row>
    <row r="75" spans="1:7" ht="24.95" customHeight="1" x14ac:dyDescent="0.25">
      <c r="A75" s="77">
        <v>6</v>
      </c>
      <c r="B75" s="12" t="s">
        <v>74</v>
      </c>
      <c r="C75" s="80" t="s">
        <v>75</v>
      </c>
      <c r="D75" s="39">
        <f>(139.952+133.494)/D71*100</f>
        <v>71.549195534029877</v>
      </c>
      <c r="E75" s="39">
        <f>(139.603+133.759)/E71*100</f>
        <v>71.324354364853647</v>
      </c>
      <c r="F75" s="81"/>
    </row>
    <row r="76" spans="1:7" ht="38.25" customHeight="1" x14ac:dyDescent="0.25">
      <c r="A76" s="77">
        <v>7</v>
      </c>
      <c r="B76" s="12" t="s">
        <v>76</v>
      </c>
      <c r="C76" s="80" t="s">
        <v>24</v>
      </c>
      <c r="D76" s="37"/>
      <c r="E76" s="24">
        <f>28738.824</f>
        <v>28738.824000000001</v>
      </c>
      <c r="F76" s="19"/>
    </row>
    <row r="77" spans="1:7" ht="39.75" customHeight="1" x14ac:dyDescent="0.25">
      <c r="A77" s="79" t="s">
        <v>83</v>
      </c>
      <c r="B77" s="12" t="s">
        <v>135</v>
      </c>
      <c r="C77" s="80" t="s">
        <v>24</v>
      </c>
      <c r="D77" s="37"/>
      <c r="E77" s="76">
        <f>1977.376+833.99+179.552+42.043</f>
        <v>3032.9610000000002</v>
      </c>
      <c r="F77" s="81"/>
    </row>
    <row r="78" spans="1:7" ht="41.25" customHeight="1" x14ac:dyDescent="0.25">
      <c r="A78" s="27">
        <v>8</v>
      </c>
      <c r="B78" s="83" t="s">
        <v>123</v>
      </c>
      <c r="C78" s="77" t="s">
        <v>75</v>
      </c>
      <c r="D78" s="77" t="s">
        <v>93</v>
      </c>
      <c r="E78" s="77" t="s">
        <v>93</v>
      </c>
      <c r="F78" s="77" t="s">
        <v>93</v>
      </c>
    </row>
    <row r="79" spans="1:7" ht="15.75" x14ac:dyDescent="0.25">
      <c r="A79" s="3"/>
      <c r="B79" s="3"/>
      <c r="C79" s="3"/>
      <c r="D79" s="3"/>
      <c r="E79" s="3"/>
      <c r="F79" s="3"/>
    </row>
    <row r="80" spans="1:7" s="11" customFormat="1" ht="16.5" customHeight="1" x14ac:dyDescent="0.25">
      <c r="B80" s="84" t="s">
        <v>94</v>
      </c>
    </row>
    <row r="81" spans="2:6" s="11" customFormat="1" ht="57.75" customHeight="1" x14ac:dyDescent="0.25">
      <c r="B81" s="158" t="s">
        <v>95</v>
      </c>
      <c r="C81" s="158"/>
      <c r="D81" s="158"/>
      <c r="E81" s="158"/>
      <c r="F81" s="158"/>
    </row>
    <row r="82" spans="2:6" s="11" customFormat="1" ht="30.75" customHeight="1" x14ac:dyDescent="0.25">
      <c r="B82" s="158" t="s">
        <v>96</v>
      </c>
      <c r="C82" s="158"/>
      <c r="D82" s="158"/>
      <c r="E82" s="158"/>
      <c r="F82" s="158"/>
    </row>
    <row r="83" spans="2:6" s="11" customFormat="1" ht="33.75" customHeight="1" x14ac:dyDescent="0.25">
      <c r="B83" s="159" t="s">
        <v>97</v>
      </c>
      <c r="C83" s="159"/>
      <c r="D83" s="159"/>
      <c r="E83" s="159"/>
      <c r="F83" s="159"/>
    </row>
    <row r="84" spans="2:6" s="11" customFormat="1" ht="34.5" customHeight="1" x14ac:dyDescent="0.25">
      <c r="B84" s="158" t="s">
        <v>98</v>
      </c>
      <c r="C84" s="158"/>
      <c r="D84" s="158"/>
      <c r="E84" s="158"/>
      <c r="F84" s="158"/>
    </row>
    <row r="85" spans="2:6" s="11" customFormat="1" ht="50.1" customHeight="1" x14ac:dyDescent="0.25">
      <c r="B85" s="158" t="s">
        <v>99</v>
      </c>
      <c r="C85" s="158"/>
      <c r="D85" s="158"/>
      <c r="E85" s="158"/>
      <c r="F85" s="158"/>
    </row>
    <row r="86" spans="2:6" x14ac:dyDescent="0.25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3FDFF"/>
    <pageSetUpPr fitToPage="1"/>
  </sheetPr>
  <dimension ref="A1:K86"/>
  <sheetViews>
    <sheetView topLeftCell="A75" workbookViewId="0">
      <selection activeCell="D96" sqref="D96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 x14ac:dyDescent="0.25">
      <c r="A1" s="3"/>
      <c r="B1" s="3"/>
      <c r="C1" s="3" t="s">
        <v>77</v>
      </c>
      <c r="D1" s="3"/>
      <c r="E1" s="3"/>
      <c r="F1" s="3"/>
    </row>
    <row r="2" spans="1:11" ht="51" customHeight="1" x14ac:dyDescent="0.25">
      <c r="A2" s="3"/>
      <c r="B2" s="3"/>
      <c r="C2" s="145" t="s">
        <v>78</v>
      </c>
      <c r="D2" s="145"/>
      <c r="E2" s="145"/>
      <c r="F2" s="145"/>
    </row>
    <row r="3" spans="1:11" ht="69.75" customHeight="1" x14ac:dyDescent="0.25">
      <c r="A3" s="146" t="s">
        <v>79</v>
      </c>
      <c r="B3" s="146"/>
      <c r="C3" s="146"/>
      <c r="D3" s="146"/>
      <c r="E3" s="146"/>
      <c r="F3" s="146"/>
    </row>
    <row r="4" spans="1:11" ht="38.25" customHeight="1" x14ac:dyDescent="0.3">
      <c r="A4" s="6" t="s">
        <v>80</v>
      </c>
      <c r="B4" s="6"/>
      <c r="C4" s="7"/>
      <c r="D4" s="5"/>
      <c r="E4" s="5"/>
      <c r="F4" s="5"/>
    </row>
    <row r="5" spans="1:11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 x14ac:dyDescent="0.3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 x14ac:dyDescent="0.3">
      <c r="A7" s="8" t="s">
        <v>131</v>
      </c>
      <c r="B7" s="8"/>
      <c r="C7" s="9"/>
      <c r="D7" s="35"/>
      <c r="E7" s="4"/>
      <c r="F7" s="4"/>
    </row>
    <row r="8" spans="1:11" ht="15.75" x14ac:dyDescent="0.25">
      <c r="A8" s="3"/>
      <c r="B8" s="3"/>
      <c r="C8" s="3"/>
      <c r="D8" s="3"/>
      <c r="E8" s="3"/>
      <c r="F8" s="3"/>
    </row>
    <row r="9" spans="1:11" ht="15.75" x14ac:dyDescent="0.25">
      <c r="A9" s="147" t="s">
        <v>18</v>
      </c>
      <c r="B9" s="147" t="s">
        <v>0</v>
      </c>
      <c r="C9" s="147" t="s">
        <v>19</v>
      </c>
      <c r="D9" s="160" t="s">
        <v>130</v>
      </c>
      <c r="E9" s="161"/>
      <c r="F9" s="150" t="s">
        <v>1</v>
      </c>
    </row>
    <row r="10" spans="1:11" ht="42.75" customHeight="1" x14ac:dyDescent="0.25">
      <c r="A10" s="147"/>
      <c r="B10" s="147"/>
      <c r="C10" s="147"/>
      <c r="D10" s="52" t="s">
        <v>124</v>
      </c>
      <c r="E10" s="52" t="s">
        <v>84</v>
      </c>
      <c r="F10" s="151"/>
    </row>
    <row r="11" spans="1:11" ht="24.75" customHeight="1" x14ac:dyDescent="0.25">
      <c r="A11" s="47" t="s">
        <v>20</v>
      </c>
      <c r="B11" s="12" t="s">
        <v>21</v>
      </c>
      <c r="C11" s="47" t="s">
        <v>22</v>
      </c>
      <c r="D11" s="47" t="s">
        <v>22</v>
      </c>
      <c r="E11" s="47" t="s">
        <v>22</v>
      </c>
      <c r="F11" s="47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 x14ac:dyDescent="0.25">
      <c r="A12" s="47">
        <v>1</v>
      </c>
      <c r="B12" s="13" t="s">
        <v>23</v>
      </c>
      <c r="C12" s="14" t="s">
        <v>24</v>
      </c>
      <c r="D12" s="24">
        <f>D13+D37+D51</f>
        <v>167762.65299999999</v>
      </c>
      <c r="E12" s="24">
        <f>E13+E37+E51</f>
        <v>186330.18400000001</v>
      </c>
      <c r="F12" s="15"/>
      <c r="G12" s="54">
        <v>156384.67000000001</v>
      </c>
      <c r="H12" s="63"/>
      <c r="I12" s="63"/>
      <c r="J12" s="60"/>
      <c r="K12" s="2"/>
    </row>
    <row r="13" spans="1:11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95863.874999999985</v>
      </c>
      <c r="E13" s="24">
        <f>E14+E19+E24+E35+E36</f>
        <v>107002.264</v>
      </c>
      <c r="F13" s="15"/>
      <c r="G13" s="2"/>
      <c r="H13" s="2"/>
      <c r="I13" s="61"/>
    </row>
    <row r="14" spans="1:11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3512.6309999999999</v>
      </c>
      <c r="E14" s="24">
        <f>E15+E17</f>
        <v>6941.259</v>
      </c>
      <c r="F14" s="15"/>
      <c r="G14" s="2"/>
      <c r="H14" s="2"/>
      <c r="I14" s="2"/>
    </row>
    <row r="15" spans="1:11" ht="24.95" customHeight="1" x14ac:dyDescent="0.25">
      <c r="A15" s="47" t="s">
        <v>27</v>
      </c>
      <c r="B15" s="12" t="s">
        <v>28</v>
      </c>
      <c r="C15" s="47" t="s">
        <v>24</v>
      </c>
      <c r="D15" s="18">
        <v>3132.6559999999999</v>
      </c>
      <c r="E15" s="18">
        <f>1543.604+1222.349+3657.949-140.91</f>
        <v>6282.9920000000002</v>
      </c>
      <c r="F15" s="50"/>
      <c r="G15" s="2"/>
      <c r="I15" s="2"/>
    </row>
    <row r="16" spans="1:11" ht="24.95" customHeight="1" x14ac:dyDescent="0.25">
      <c r="A16" s="47" t="s">
        <v>29</v>
      </c>
      <c r="B16" s="26" t="s">
        <v>33</v>
      </c>
      <c r="C16" s="47" t="s">
        <v>24</v>
      </c>
      <c r="D16" s="28"/>
      <c r="E16" s="18">
        <f>3657.949-140.91</f>
        <v>3517.0390000000002</v>
      </c>
      <c r="F16" s="50"/>
      <c r="G16" s="2"/>
      <c r="H16" s="2"/>
      <c r="I16" s="2"/>
      <c r="J16" s="2"/>
    </row>
    <row r="17" spans="1:9" ht="51" customHeight="1" x14ac:dyDescent="0.25">
      <c r="A17" s="47" t="s">
        <v>30</v>
      </c>
      <c r="B17" s="12" t="s">
        <v>31</v>
      </c>
      <c r="C17" s="47" t="s">
        <v>24</v>
      </c>
      <c r="D17" s="18">
        <v>379.97500000000002</v>
      </c>
      <c r="E17" s="18">
        <f>248.827+146.36+12.956+250.124</f>
        <v>658.26700000000005</v>
      </c>
      <c r="F17" s="50"/>
      <c r="G17" s="2"/>
      <c r="I17" s="2"/>
    </row>
    <row r="18" spans="1:9" ht="24.95" customHeight="1" x14ac:dyDescent="0.25">
      <c r="A18" s="47" t="s">
        <v>32</v>
      </c>
      <c r="B18" s="26" t="s">
        <v>33</v>
      </c>
      <c r="C18" s="47" t="s">
        <v>24</v>
      </c>
      <c r="D18" s="18"/>
      <c r="E18" s="37"/>
      <c r="F18" s="50"/>
      <c r="I18" s="2"/>
    </row>
    <row r="19" spans="1:9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80431.463999999993</v>
      </c>
      <c r="E19" s="24">
        <f>E20+E21+E22</f>
        <v>81567.218999999997</v>
      </c>
      <c r="F19" s="15"/>
      <c r="G19" s="62"/>
      <c r="H19" s="62"/>
      <c r="I19" s="62"/>
    </row>
    <row r="20" spans="1:9" ht="24.95" customHeight="1" outlineLevel="1" x14ac:dyDescent="0.25">
      <c r="A20" s="29"/>
      <c r="B20" s="30" t="s">
        <v>119</v>
      </c>
      <c r="C20" s="31" t="s">
        <v>24</v>
      </c>
      <c r="D20" s="32">
        <v>79264.235000000001</v>
      </c>
      <c r="E20" s="32">
        <v>79995.710999999996</v>
      </c>
      <c r="F20" s="33"/>
    </row>
    <row r="21" spans="1:9" ht="24.95" customHeight="1" outlineLevel="1" x14ac:dyDescent="0.25">
      <c r="A21" s="29"/>
      <c r="B21" s="30" t="s">
        <v>120</v>
      </c>
      <c r="C21" s="31" t="s">
        <v>24</v>
      </c>
      <c r="D21" s="32">
        <v>1165.549</v>
      </c>
      <c r="E21" s="32">
        <v>1003.522</v>
      </c>
      <c r="F21" s="34"/>
    </row>
    <row r="22" spans="1:9" ht="24.95" customHeight="1" outlineLevel="1" x14ac:dyDescent="0.25">
      <c r="A22" s="29"/>
      <c r="B22" s="30" t="s">
        <v>121</v>
      </c>
      <c r="C22" s="31" t="s">
        <v>24</v>
      </c>
      <c r="D22" s="32">
        <v>1.68</v>
      </c>
      <c r="E22" s="32">
        <f>1571.508-1003.522</f>
        <v>567.98599999999999</v>
      </c>
      <c r="F22" s="34"/>
    </row>
    <row r="23" spans="1:9" ht="24.95" customHeight="1" x14ac:dyDescent="0.25">
      <c r="A23" s="51" t="s">
        <v>34</v>
      </c>
      <c r="B23" s="26" t="s">
        <v>33</v>
      </c>
      <c r="C23" s="47" t="s">
        <v>24</v>
      </c>
      <c r="D23" s="18"/>
      <c r="E23" s="18">
        <f>901.577+5177.053</f>
        <v>6078.63</v>
      </c>
      <c r="F23" s="50"/>
    </row>
    <row r="24" spans="1:9" ht="24.95" customHeight="1" x14ac:dyDescent="0.25">
      <c r="A24" s="20" t="s">
        <v>5</v>
      </c>
      <c r="B24" s="12" t="s">
        <v>35</v>
      </c>
      <c r="C24" s="47" t="s">
        <v>24</v>
      </c>
      <c r="D24" s="18">
        <f>D25+D26+D27</f>
        <v>11919.78</v>
      </c>
      <c r="E24" s="18">
        <f>E25+E26+E27</f>
        <v>18493.786</v>
      </c>
      <c r="F24" s="50"/>
    </row>
    <row r="25" spans="1:9" ht="34.5" customHeight="1" x14ac:dyDescent="0.25">
      <c r="A25" s="51" t="s">
        <v>36</v>
      </c>
      <c r="B25" s="12" t="s">
        <v>37</v>
      </c>
      <c r="C25" s="47" t="s">
        <v>24</v>
      </c>
      <c r="D25" s="18">
        <v>320.40100000000001</v>
      </c>
      <c r="E25" s="18">
        <v>144.726</v>
      </c>
      <c r="F25" s="50"/>
      <c r="G25" s="44"/>
    </row>
    <row r="26" spans="1:9" ht="24.95" customHeight="1" x14ac:dyDescent="0.25">
      <c r="A26" s="51" t="s">
        <v>38</v>
      </c>
      <c r="B26" s="12" t="s">
        <v>39</v>
      </c>
      <c r="C26" s="47" t="s">
        <v>24</v>
      </c>
      <c r="D26" s="18">
        <v>228.74799999999999</v>
      </c>
      <c r="E26" s="18">
        <f>344.084+68.432</f>
        <v>412.51600000000002</v>
      </c>
      <c r="F26" s="50"/>
    </row>
    <row r="27" spans="1:9" ht="24.95" customHeight="1" x14ac:dyDescent="0.25">
      <c r="A27" s="51" t="s">
        <v>40</v>
      </c>
      <c r="B27" s="21" t="s">
        <v>41</v>
      </c>
      <c r="C27" s="47" t="s">
        <v>24</v>
      </c>
      <c r="D27" s="18">
        <f>SUM(D28:D34)</f>
        <v>11370.631000000001</v>
      </c>
      <c r="E27" s="18">
        <f>SUM(E28:E34)</f>
        <v>17936.544000000002</v>
      </c>
      <c r="F27" s="50"/>
    </row>
    <row r="28" spans="1:9" ht="40.5" customHeight="1" x14ac:dyDescent="0.25">
      <c r="A28" s="51" t="s">
        <v>100</v>
      </c>
      <c r="B28" s="41" t="s">
        <v>101</v>
      </c>
      <c r="C28" s="51" t="s">
        <v>24</v>
      </c>
      <c r="D28" s="18">
        <v>1133.646</v>
      </c>
      <c r="E28" s="18">
        <v>140.91</v>
      </c>
      <c r="F28" s="50"/>
    </row>
    <row r="29" spans="1:9" ht="24.95" customHeight="1" x14ac:dyDescent="0.25">
      <c r="A29" s="51" t="s">
        <v>102</v>
      </c>
      <c r="B29" s="12" t="s">
        <v>103</v>
      </c>
      <c r="C29" s="51" t="s">
        <v>24</v>
      </c>
      <c r="D29" s="57">
        <f>543.855+569.025+230.577</f>
        <v>1343.4570000000001</v>
      </c>
      <c r="E29" s="64">
        <f>1269.792-2.126-257.389</f>
        <v>1010.2769999999999</v>
      </c>
      <c r="F29" s="50"/>
    </row>
    <row r="30" spans="1:9" ht="24.95" customHeight="1" x14ac:dyDescent="0.25">
      <c r="A30" s="51" t="s">
        <v>107</v>
      </c>
      <c r="B30" s="12" t="s">
        <v>104</v>
      </c>
      <c r="C30" s="51" t="s">
        <v>24</v>
      </c>
      <c r="D30" s="18">
        <v>0</v>
      </c>
      <c r="E30" s="18">
        <f>210.678+17.489+11.991+54.177+1.364</f>
        <v>295.69900000000001</v>
      </c>
      <c r="F30" s="50"/>
    </row>
    <row r="31" spans="1:9" ht="24.95" customHeight="1" x14ac:dyDescent="0.25">
      <c r="A31" s="51" t="s">
        <v>108</v>
      </c>
      <c r="B31" s="12" t="s">
        <v>105</v>
      </c>
      <c r="C31" s="51" t="s">
        <v>24</v>
      </c>
      <c r="D31" s="18">
        <v>105.03</v>
      </c>
      <c r="E31" s="18">
        <f>257.389+26.987</f>
        <v>284.37600000000003</v>
      </c>
      <c r="F31" s="50"/>
    </row>
    <row r="32" spans="1:9" ht="34.5" customHeight="1" x14ac:dyDescent="0.25">
      <c r="A32" s="51" t="s">
        <v>109</v>
      </c>
      <c r="B32" s="22" t="s">
        <v>106</v>
      </c>
      <c r="C32" s="51" t="s">
        <v>24</v>
      </c>
      <c r="D32" s="18">
        <v>1483.712</v>
      </c>
      <c r="E32" s="18">
        <f>81.38+1697.098+313.177+335.397+2.126+5.534</f>
        <v>2434.7120000000004</v>
      </c>
      <c r="F32" s="50"/>
    </row>
    <row r="33" spans="1:8" ht="34.5" customHeight="1" x14ac:dyDescent="0.25">
      <c r="A33" s="51" t="s">
        <v>110</v>
      </c>
      <c r="B33" s="22" t="s">
        <v>112</v>
      </c>
      <c r="C33" s="51" t="s">
        <v>24</v>
      </c>
      <c r="D33" s="18">
        <v>252.32400000000001</v>
      </c>
      <c r="E33" s="18">
        <f>182.72+2.174+0.161</f>
        <v>185.05500000000001</v>
      </c>
      <c r="F33" s="50"/>
    </row>
    <row r="34" spans="1:8" ht="24.95" customHeight="1" x14ac:dyDescent="0.25">
      <c r="A34" s="51" t="s">
        <v>111</v>
      </c>
      <c r="B34" s="12" t="s">
        <v>113</v>
      </c>
      <c r="C34" s="51" t="s">
        <v>24</v>
      </c>
      <c r="D34" s="18">
        <v>7052.4620000000004</v>
      </c>
      <c r="E34" s="18">
        <f>13242.209+116.124+227.182</f>
        <v>13585.515000000001</v>
      </c>
      <c r="F34" s="50"/>
    </row>
    <row r="35" spans="1:8" ht="36.75" customHeight="1" x14ac:dyDescent="0.25">
      <c r="A35" s="20" t="s">
        <v>85</v>
      </c>
      <c r="B35" s="12" t="s">
        <v>42</v>
      </c>
      <c r="C35" s="47" t="s">
        <v>24</v>
      </c>
      <c r="D35" s="18"/>
      <c r="E35" s="28"/>
      <c r="F35" s="50"/>
    </row>
    <row r="36" spans="1:8" ht="24.95" customHeight="1" x14ac:dyDescent="0.25">
      <c r="A36" s="20" t="s">
        <v>86</v>
      </c>
      <c r="B36" s="12" t="s">
        <v>43</v>
      </c>
      <c r="C36" s="47" t="s">
        <v>24</v>
      </c>
      <c r="D36" s="18"/>
      <c r="E36" s="28"/>
      <c r="F36" s="50"/>
    </row>
    <row r="37" spans="1:8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80625.103999999992</v>
      </c>
      <c r="E37" s="24">
        <f>SUM(E38:E47)+E49+E50</f>
        <v>79327.92</v>
      </c>
      <c r="F37" s="25"/>
    </row>
    <row r="38" spans="1:8" ht="24.95" customHeight="1" x14ac:dyDescent="0.25">
      <c r="A38" s="20" t="s">
        <v>7</v>
      </c>
      <c r="B38" s="12" t="s">
        <v>45</v>
      </c>
      <c r="C38" s="47" t="s">
        <v>24</v>
      </c>
      <c r="D38" s="18"/>
      <c r="E38" s="37"/>
      <c r="F38" s="50"/>
    </row>
    <row r="39" spans="1:8" ht="33.75" customHeight="1" x14ac:dyDescent="0.25">
      <c r="A39" s="20" t="s">
        <v>8</v>
      </c>
      <c r="B39" s="12" t="s">
        <v>46</v>
      </c>
      <c r="C39" s="47" t="s">
        <v>24</v>
      </c>
      <c r="D39" s="18"/>
      <c r="E39" s="37"/>
      <c r="F39" s="50"/>
    </row>
    <row r="40" spans="1:8" ht="24.95" customHeight="1" x14ac:dyDescent="0.25">
      <c r="A40" s="20" t="s">
        <v>11</v>
      </c>
      <c r="B40" s="12" t="s">
        <v>47</v>
      </c>
      <c r="C40" s="47" t="s">
        <v>24</v>
      </c>
      <c r="D40" s="1">
        <v>30251.761999999999</v>
      </c>
      <c r="E40" s="40">
        <f>28506.986-116.124</f>
        <v>28390.862000000001</v>
      </c>
      <c r="F40" s="50"/>
    </row>
    <row r="41" spans="1:8" ht="24.95" customHeight="1" x14ac:dyDescent="0.25">
      <c r="A41" s="20" t="s">
        <v>12</v>
      </c>
      <c r="B41" s="12" t="s">
        <v>10</v>
      </c>
      <c r="C41" s="47" t="s">
        <v>24</v>
      </c>
      <c r="D41" s="1">
        <v>23937.808000000001</v>
      </c>
      <c r="E41" s="40">
        <v>24034.609</v>
      </c>
      <c r="F41" s="50"/>
    </row>
    <row r="42" spans="1:8" ht="36.75" customHeight="1" x14ac:dyDescent="0.25">
      <c r="A42" s="20" t="s">
        <v>14</v>
      </c>
      <c r="B42" s="12" t="s">
        <v>48</v>
      </c>
      <c r="C42" s="47" t="s">
        <v>24</v>
      </c>
      <c r="D42" s="18"/>
      <c r="E42" s="37"/>
      <c r="F42" s="50"/>
    </row>
    <row r="43" spans="1:8" ht="24.95" customHeight="1" x14ac:dyDescent="0.25">
      <c r="A43" s="20" t="s">
        <v>16</v>
      </c>
      <c r="B43" s="12" t="s">
        <v>49</v>
      </c>
      <c r="C43" s="47" t="s">
        <v>24</v>
      </c>
      <c r="D43" s="1">
        <v>1819.63</v>
      </c>
      <c r="E43" s="40">
        <v>4131.5860000000002</v>
      </c>
      <c r="F43" s="50"/>
      <c r="G43" s="2"/>
    </row>
    <row r="44" spans="1:8" ht="24.95" customHeight="1" x14ac:dyDescent="0.25">
      <c r="A44" s="20" t="s">
        <v>17</v>
      </c>
      <c r="B44" s="12" t="s">
        <v>50</v>
      </c>
      <c r="C44" s="47" t="s">
        <v>24</v>
      </c>
      <c r="D44" s="18">
        <v>15389</v>
      </c>
      <c r="E44" s="18">
        <v>14094</v>
      </c>
      <c r="F44" s="55" t="s">
        <v>129</v>
      </c>
      <c r="G44" s="2"/>
      <c r="H44" s="2"/>
    </row>
    <row r="45" spans="1:8" ht="24.95" customHeight="1" x14ac:dyDescent="0.25">
      <c r="A45" s="20" t="s">
        <v>88</v>
      </c>
      <c r="B45" s="12" t="s">
        <v>13</v>
      </c>
      <c r="C45" s="47" t="s">
        <v>24</v>
      </c>
      <c r="D45" s="1">
        <v>0</v>
      </c>
      <c r="E45" s="40">
        <v>0</v>
      </c>
      <c r="F45" s="50"/>
    </row>
    <row r="46" spans="1:8" ht="24.95" customHeight="1" x14ac:dyDescent="0.25">
      <c r="A46" s="20" t="s">
        <v>87</v>
      </c>
      <c r="B46" s="12" t="s">
        <v>15</v>
      </c>
      <c r="C46" s="47" t="s">
        <v>24</v>
      </c>
      <c r="D46" s="1">
        <v>148.011</v>
      </c>
      <c r="E46" s="40">
        <v>343.81599999999997</v>
      </c>
      <c r="F46" s="50"/>
    </row>
    <row r="47" spans="1:8" ht="54" customHeight="1" x14ac:dyDescent="0.25">
      <c r="A47" s="20" t="s">
        <v>89</v>
      </c>
      <c r="B47" s="12" t="s">
        <v>51</v>
      </c>
      <c r="C47" s="51" t="s">
        <v>24</v>
      </c>
      <c r="D47" s="1">
        <v>6359.4</v>
      </c>
      <c r="E47" s="40">
        <v>5821.57</v>
      </c>
      <c r="F47" s="50"/>
    </row>
    <row r="48" spans="1:8" ht="24.95" customHeight="1" x14ac:dyDescent="0.25">
      <c r="A48" s="51" t="s">
        <v>52</v>
      </c>
      <c r="B48" s="12" t="s">
        <v>53</v>
      </c>
      <c r="C48" s="47" t="s">
        <v>54</v>
      </c>
      <c r="D48" s="58">
        <f>87+1</f>
        <v>88</v>
      </c>
      <c r="E48" s="49">
        <v>80</v>
      </c>
      <c r="F48" s="50"/>
    </row>
    <row r="49" spans="1:10" ht="104.25" customHeight="1" x14ac:dyDescent="0.25">
      <c r="A49" s="20" t="s">
        <v>90</v>
      </c>
      <c r="B49" s="12" t="s">
        <v>55</v>
      </c>
      <c r="C49" s="47" t="s">
        <v>24</v>
      </c>
      <c r="D49" s="18"/>
      <c r="E49" s="37"/>
      <c r="F49" s="50"/>
    </row>
    <row r="50" spans="1:10" ht="24.95" customHeight="1" x14ac:dyDescent="0.25">
      <c r="A50" s="20" t="s">
        <v>91</v>
      </c>
      <c r="B50" s="12" t="s">
        <v>122</v>
      </c>
      <c r="C50" s="47" t="s">
        <v>24</v>
      </c>
      <c r="D50" s="1">
        <v>2719.4929999999999</v>
      </c>
      <c r="E50" s="40">
        <f>41.93+927.776+1541.771</f>
        <v>2511.4769999999999</v>
      </c>
      <c r="F50" s="50"/>
    </row>
    <row r="51" spans="1:10" ht="39" customHeight="1" x14ac:dyDescent="0.25">
      <c r="A51" s="46" t="s">
        <v>92</v>
      </c>
      <c r="B51" s="12" t="s">
        <v>56</v>
      </c>
      <c r="C51" s="47" t="s">
        <v>24</v>
      </c>
      <c r="D51" s="49">
        <v>-8726.3259999999991</v>
      </c>
      <c r="E51" s="37"/>
      <c r="F51" s="50"/>
    </row>
    <row r="52" spans="1:10" ht="44.25" customHeight="1" x14ac:dyDescent="0.25">
      <c r="A52" s="51" t="s">
        <v>57</v>
      </c>
      <c r="B52" s="12" t="s">
        <v>114</v>
      </c>
      <c r="C52" s="47" t="s">
        <v>24</v>
      </c>
      <c r="D52" s="18">
        <f>D16+D18+D23+D28</f>
        <v>1133.646</v>
      </c>
      <c r="E52" s="18">
        <f>E16+E18+E23+E28</f>
        <v>9736.5789999999997</v>
      </c>
      <c r="F52" s="50"/>
      <c r="H52" s="2"/>
      <c r="I52" s="2"/>
      <c r="J52" s="2"/>
    </row>
    <row r="53" spans="1:10" ht="39" customHeight="1" x14ac:dyDescent="0.25">
      <c r="A53" s="51" t="s">
        <v>58</v>
      </c>
      <c r="B53" s="13" t="s">
        <v>59</v>
      </c>
      <c r="C53" s="14" t="s">
        <v>24</v>
      </c>
      <c r="D53" s="24">
        <v>23361.507000000001</v>
      </c>
      <c r="E53" s="24">
        <v>26333.352999999999</v>
      </c>
      <c r="F53" s="15"/>
    </row>
    <row r="54" spans="1:10" ht="24.95" customHeight="1" x14ac:dyDescent="0.25">
      <c r="A54" s="152" t="s">
        <v>2</v>
      </c>
      <c r="B54" s="12" t="s">
        <v>60</v>
      </c>
      <c r="C54" s="153" t="s">
        <v>62</v>
      </c>
      <c r="D54" s="162">
        <v>11428.1</v>
      </c>
      <c r="E54" s="157">
        <v>13269.79</v>
      </c>
      <c r="F54" s="155"/>
    </row>
    <row r="55" spans="1:10" ht="24.95" customHeight="1" x14ac:dyDescent="0.25">
      <c r="A55" s="152"/>
      <c r="B55" s="12" t="s">
        <v>61</v>
      </c>
      <c r="C55" s="153"/>
      <c r="D55" s="162"/>
      <c r="E55" s="157"/>
      <c r="F55" s="155"/>
    </row>
    <row r="56" spans="1:10" ht="24.95" customHeight="1" x14ac:dyDescent="0.25">
      <c r="A56" s="152" t="s">
        <v>6</v>
      </c>
      <c r="B56" s="12" t="s">
        <v>60</v>
      </c>
      <c r="C56" s="153" t="s">
        <v>115</v>
      </c>
      <c r="D56" s="154">
        <f>D53/D54*1000</f>
        <v>2044.2161864176899</v>
      </c>
      <c r="E56" s="154">
        <f>E53/E54*1000</f>
        <v>1984.4589100505734</v>
      </c>
      <c r="F56" s="155"/>
    </row>
    <row r="57" spans="1:10" ht="37.5" customHeight="1" x14ac:dyDescent="0.25">
      <c r="A57" s="152"/>
      <c r="B57" s="12" t="s">
        <v>63</v>
      </c>
      <c r="C57" s="153"/>
      <c r="D57" s="154"/>
      <c r="E57" s="154"/>
      <c r="F57" s="155"/>
    </row>
    <row r="58" spans="1:10" ht="53.25" customHeight="1" x14ac:dyDescent="0.25">
      <c r="A58" s="51" t="s">
        <v>64</v>
      </c>
      <c r="B58" s="12" t="s">
        <v>65</v>
      </c>
      <c r="C58" s="51" t="s">
        <v>22</v>
      </c>
      <c r="D58" s="51" t="s">
        <v>22</v>
      </c>
      <c r="E58" s="51" t="s">
        <v>22</v>
      </c>
      <c r="F58" s="51" t="s">
        <v>22</v>
      </c>
      <c r="G58" s="43"/>
    </row>
    <row r="59" spans="1:10" ht="29.25" customHeight="1" x14ac:dyDescent="0.25">
      <c r="A59" s="36">
        <v>1</v>
      </c>
      <c r="B59" s="13" t="s">
        <v>125</v>
      </c>
      <c r="C59" s="14" t="s">
        <v>66</v>
      </c>
      <c r="D59" s="59">
        <v>3863</v>
      </c>
      <c r="E59" s="59">
        <v>4126</v>
      </c>
      <c r="F59" s="15"/>
    </row>
    <row r="60" spans="1:10" ht="24.95" customHeight="1" x14ac:dyDescent="0.25">
      <c r="A60" s="36">
        <v>2</v>
      </c>
      <c r="B60" s="13" t="s">
        <v>67</v>
      </c>
      <c r="C60" s="14" t="s">
        <v>68</v>
      </c>
      <c r="D60" s="25">
        <v>116.134</v>
      </c>
      <c r="E60" s="25">
        <v>120.259</v>
      </c>
      <c r="F60" s="15"/>
    </row>
    <row r="61" spans="1:10" ht="24.95" customHeight="1" x14ac:dyDescent="0.25">
      <c r="A61" s="51"/>
      <c r="B61" s="51" t="s">
        <v>116</v>
      </c>
      <c r="C61" s="51" t="s">
        <v>68</v>
      </c>
      <c r="D61" s="49">
        <v>20</v>
      </c>
      <c r="E61" s="49">
        <v>20</v>
      </c>
      <c r="F61" s="49"/>
    </row>
    <row r="62" spans="1:10" ht="37.5" customHeight="1" x14ac:dyDescent="0.25">
      <c r="A62" s="51"/>
      <c r="B62" s="51" t="s">
        <v>117</v>
      </c>
      <c r="C62" s="51" t="s">
        <v>68</v>
      </c>
      <c r="D62" s="49">
        <f>D60-D61</f>
        <v>96.134</v>
      </c>
      <c r="E62" s="49">
        <f>E60-E61</f>
        <v>100.259</v>
      </c>
      <c r="F62" s="49"/>
    </row>
    <row r="63" spans="1:10" ht="24.95" customHeight="1" x14ac:dyDescent="0.25">
      <c r="A63" s="51">
        <v>3</v>
      </c>
      <c r="B63" s="13" t="s">
        <v>69</v>
      </c>
      <c r="C63" s="14" t="s">
        <v>70</v>
      </c>
      <c r="D63" s="24">
        <f>D64+D65+D66</f>
        <v>1022.5350000000001</v>
      </c>
      <c r="E63" s="24">
        <f>E64+E65+E66</f>
        <v>1027.454</v>
      </c>
      <c r="F63" s="50"/>
      <c r="G63" s="2"/>
    </row>
    <row r="64" spans="1:10" ht="35.25" customHeight="1" x14ac:dyDescent="0.25">
      <c r="A64" s="51"/>
      <c r="B64" s="51" t="s">
        <v>116</v>
      </c>
      <c r="C64" s="51" t="s">
        <v>70</v>
      </c>
      <c r="D64" s="18"/>
      <c r="E64" s="39"/>
      <c r="F64" s="49"/>
    </row>
    <row r="65" spans="1:7" ht="35.25" customHeight="1" x14ac:dyDescent="0.25">
      <c r="A65" s="51"/>
      <c r="B65" s="51" t="s">
        <v>117</v>
      </c>
      <c r="C65" s="51" t="s">
        <v>70</v>
      </c>
      <c r="D65" s="18">
        <v>601.57600000000002</v>
      </c>
      <c r="E65" s="18">
        <v>605.57899999999995</v>
      </c>
      <c r="F65" s="49"/>
    </row>
    <row r="66" spans="1:7" ht="35.25" customHeight="1" x14ac:dyDescent="0.25">
      <c r="A66" s="51"/>
      <c r="B66" s="51" t="s">
        <v>118</v>
      </c>
      <c r="C66" s="51" t="s">
        <v>70</v>
      </c>
      <c r="D66" s="18">
        <v>420.959</v>
      </c>
      <c r="E66" s="18">
        <v>421.875</v>
      </c>
      <c r="F66" s="49"/>
    </row>
    <row r="67" spans="1:7" ht="24.95" customHeight="1" x14ac:dyDescent="0.25">
      <c r="A67" s="51">
        <v>4</v>
      </c>
      <c r="B67" s="13" t="s">
        <v>71</v>
      </c>
      <c r="C67" s="14" t="s">
        <v>70</v>
      </c>
      <c r="D67" s="38">
        <f>D68+D69+D70</f>
        <v>1957.5</v>
      </c>
      <c r="E67" s="38">
        <f>E68+E69+E70</f>
        <v>1963.5</v>
      </c>
      <c r="F67" s="50"/>
    </row>
    <row r="68" spans="1:7" ht="24.95" customHeight="1" x14ac:dyDescent="0.25">
      <c r="A68" s="51"/>
      <c r="B68" s="26" t="s">
        <v>116</v>
      </c>
      <c r="C68" s="47" t="s">
        <v>70</v>
      </c>
      <c r="D68" s="39">
        <v>92</v>
      </c>
      <c r="E68" s="48">
        <v>92</v>
      </c>
      <c r="F68" s="50"/>
    </row>
    <row r="69" spans="1:7" ht="24.95" customHeight="1" x14ac:dyDescent="0.25">
      <c r="A69" s="51"/>
      <c r="B69" s="26" t="s">
        <v>117</v>
      </c>
      <c r="C69" s="47" t="s">
        <v>70</v>
      </c>
      <c r="D69" s="48">
        <v>1865.5</v>
      </c>
      <c r="E69" s="48">
        <v>1871.5</v>
      </c>
      <c r="F69" s="50"/>
    </row>
    <row r="70" spans="1:7" ht="24.95" customHeight="1" x14ac:dyDescent="0.25">
      <c r="A70" s="51"/>
      <c r="B70" s="26" t="s">
        <v>118</v>
      </c>
      <c r="C70" s="47" t="s">
        <v>70</v>
      </c>
      <c r="D70" s="49"/>
      <c r="E70" s="49"/>
      <c r="F70" s="50"/>
    </row>
    <row r="71" spans="1:7" ht="24.95" customHeight="1" x14ac:dyDescent="0.25">
      <c r="A71" s="51">
        <v>5</v>
      </c>
      <c r="B71" s="13" t="s">
        <v>72</v>
      </c>
      <c r="C71" s="14" t="s">
        <v>73</v>
      </c>
      <c r="D71" s="25">
        <f>D73+D74</f>
        <v>378.62700000000001</v>
      </c>
      <c r="E71" s="24">
        <f>E73+E74</f>
        <v>381.58299999999997</v>
      </c>
      <c r="F71" s="50"/>
      <c r="G71" s="2"/>
    </row>
    <row r="72" spans="1:7" ht="24.95" customHeight="1" x14ac:dyDescent="0.25">
      <c r="A72" s="51"/>
      <c r="B72" s="26" t="s">
        <v>116</v>
      </c>
      <c r="C72" s="47" t="s">
        <v>73</v>
      </c>
      <c r="D72" s="49"/>
      <c r="E72" s="49"/>
      <c r="F72" s="50"/>
    </row>
    <row r="73" spans="1:7" ht="24.95" customHeight="1" x14ac:dyDescent="0.25">
      <c r="A73" s="51"/>
      <c r="B73" s="26" t="s">
        <v>117</v>
      </c>
      <c r="C73" s="47" t="s">
        <v>73</v>
      </c>
      <c r="D73" s="18">
        <v>219.703</v>
      </c>
      <c r="E73" s="18">
        <v>222.27699999999999</v>
      </c>
      <c r="F73" s="49"/>
    </row>
    <row r="74" spans="1:7" ht="24.95" customHeight="1" x14ac:dyDescent="0.25">
      <c r="A74" s="51"/>
      <c r="B74" s="26" t="s">
        <v>118</v>
      </c>
      <c r="C74" s="47" t="s">
        <v>73</v>
      </c>
      <c r="D74" s="49">
        <v>158.92400000000001</v>
      </c>
      <c r="E74" s="18">
        <v>159.30600000000001</v>
      </c>
      <c r="F74" s="49"/>
    </row>
    <row r="75" spans="1:7" ht="24.95" customHeight="1" x14ac:dyDescent="0.25">
      <c r="A75" s="51">
        <v>6</v>
      </c>
      <c r="B75" s="12" t="s">
        <v>74</v>
      </c>
      <c r="C75" s="47" t="s">
        <v>75</v>
      </c>
      <c r="D75" s="39">
        <f>(139.252+133.394)/D71*100</f>
        <v>72.009127716723853</v>
      </c>
      <c r="E75" s="39">
        <f>(139.442+133.544)/E71*100</f>
        <v>71.54039881231607</v>
      </c>
      <c r="F75" s="50"/>
    </row>
    <row r="76" spans="1:7" ht="38.25" customHeight="1" x14ac:dyDescent="0.25">
      <c r="A76" s="51">
        <v>7</v>
      </c>
      <c r="B76" s="12" t="s">
        <v>76</v>
      </c>
      <c r="C76" s="47" t="s">
        <v>24</v>
      </c>
      <c r="D76" s="37"/>
      <c r="E76" s="24">
        <f>21526.166-21.9-30-2343.744-2892.681</f>
        <v>16237.841</v>
      </c>
      <c r="F76" s="19"/>
    </row>
    <row r="77" spans="1:7" ht="39.75" customHeight="1" x14ac:dyDescent="0.25">
      <c r="A77" s="46" t="s">
        <v>83</v>
      </c>
      <c r="B77" s="12" t="s">
        <v>132</v>
      </c>
      <c r="C77" s="47" t="s">
        <v>24</v>
      </c>
      <c r="D77" s="37"/>
      <c r="E77" s="49">
        <f>193.149+6338.982</f>
        <v>6532.1310000000003</v>
      </c>
      <c r="F77" s="50"/>
    </row>
    <row r="78" spans="1:7" ht="41.25" customHeight="1" x14ac:dyDescent="0.25">
      <c r="A78" s="27">
        <v>8</v>
      </c>
      <c r="B78" s="49" t="s">
        <v>123</v>
      </c>
      <c r="C78" s="51" t="s">
        <v>75</v>
      </c>
      <c r="D78" s="51" t="s">
        <v>93</v>
      </c>
      <c r="E78" s="51" t="s">
        <v>93</v>
      </c>
      <c r="F78" s="51" t="s">
        <v>93</v>
      </c>
    </row>
    <row r="79" spans="1:7" ht="15.75" x14ac:dyDescent="0.25">
      <c r="A79" s="3"/>
      <c r="B79" s="3"/>
      <c r="C79" s="3"/>
      <c r="D79" s="3"/>
      <c r="E79" s="3"/>
      <c r="F79" s="3"/>
    </row>
    <row r="80" spans="1:7" s="11" customFormat="1" ht="16.5" customHeight="1" x14ac:dyDescent="0.25">
      <c r="B80" s="45" t="s">
        <v>94</v>
      </c>
    </row>
    <row r="81" spans="2:6" s="11" customFormat="1" ht="57.75" customHeight="1" x14ac:dyDescent="0.25">
      <c r="B81" s="158" t="s">
        <v>95</v>
      </c>
      <c r="C81" s="158"/>
      <c r="D81" s="158"/>
      <c r="E81" s="158"/>
      <c r="F81" s="158"/>
    </row>
    <row r="82" spans="2:6" s="11" customFormat="1" ht="30.75" customHeight="1" x14ac:dyDescent="0.25">
      <c r="B82" s="158" t="s">
        <v>96</v>
      </c>
      <c r="C82" s="158"/>
      <c r="D82" s="158"/>
      <c r="E82" s="158"/>
      <c r="F82" s="158"/>
    </row>
    <row r="83" spans="2:6" s="11" customFormat="1" ht="33.75" customHeight="1" x14ac:dyDescent="0.25">
      <c r="B83" s="159" t="s">
        <v>97</v>
      </c>
      <c r="C83" s="159"/>
      <c r="D83" s="159"/>
      <c r="E83" s="159"/>
      <c r="F83" s="159"/>
    </row>
    <row r="84" spans="2:6" s="11" customFormat="1" ht="34.5" customHeight="1" x14ac:dyDescent="0.25">
      <c r="B84" s="158" t="s">
        <v>98</v>
      </c>
      <c r="C84" s="158"/>
      <c r="D84" s="158"/>
      <c r="E84" s="158"/>
      <c r="F84" s="158"/>
    </row>
    <row r="85" spans="2:6" s="11" customFormat="1" ht="50.1" customHeight="1" x14ac:dyDescent="0.25">
      <c r="B85" s="158" t="s">
        <v>99</v>
      </c>
      <c r="C85" s="158"/>
      <c r="D85" s="158"/>
      <c r="E85" s="158"/>
      <c r="F85" s="158"/>
    </row>
    <row r="86" spans="2:6" x14ac:dyDescent="0.25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24</vt:i4>
      </vt:variant>
    </vt:vector>
  </HeadingPairs>
  <TitlesOfParts>
    <vt:vector size="30" baseType="lpstr">
      <vt:lpstr>2023 год Приказ 1831-э</vt:lpstr>
      <vt:lpstr>2022 год Приказ 1831-э (2022)</vt:lpstr>
      <vt:lpstr>2021 год Приказ 1831-э (2021)</vt:lpstr>
      <vt:lpstr>2020 год Приказ 1831-э   </vt:lpstr>
      <vt:lpstr>2019 год Приказ 1831-э </vt:lpstr>
      <vt:lpstr>2018 год Приказ 1831-э  </vt:lpstr>
      <vt:lpstr>'2018 год Приказ 1831-э  '!A1\</vt:lpstr>
      <vt:lpstr>'2019 год Приказ 1831-э '!A1\</vt:lpstr>
      <vt:lpstr>'2020 год Приказ 1831-э   '!A1\</vt:lpstr>
      <vt:lpstr>'2021 год Приказ 1831-э (2021)'!A1\</vt:lpstr>
      <vt:lpstr>'2022 год Приказ 1831-э (2022)'!A1\</vt:lpstr>
      <vt:lpstr>'2023 год Приказ 1831-э'!A1\</vt:lpstr>
      <vt:lpstr>'2019 год Приказ 1831-э '!O</vt:lpstr>
      <vt:lpstr>'2020 год Приказ 1831-э   '!O</vt:lpstr>
      <vt:lpstr>'2021 год Приказ 1831-э (2021)'!O</vt:lpstr>
      <vt:lpstr>'2022 год Приказ 1831-э (2022)'!O</vt:lpstr>
      <vt:lpstr>'2023 год Приказ 1831-э'!O</vt:lpstr>
      <vt:lpstr>O</vt:lpstr>
      <vt:lpstr>'2018 год Приказ 1831-э  '!А1</vt:lpstr>
      <vt:lpstr>'2019 год Приказ 1831-э '!А1</vt:lpstr>
      <vt:lpstr>'2020 год Приказ 1831-э   '!А1</vt:lpstr>
      <vt:lpstr>'2021 год Приказ 1831-э (2021)'!А1</vt:lpstr>
      <vt:lpstr>'2022 год Приказ 1831-э (2022)'!А1</vt:lpstr>
      <vt:lpstr>'2023 год Приказ 1831-э'!А1</vt:lpstr>
      <vt:lpstr>'2018 год Приказ 1831-э  '!Область_печати</vt:lpstr>
      <vt:lpstr>'2019 год Приказ 1831-э '!Область_печати</vt:lpstr>
      <vt:lpstr>'2020 год Приказ 1831-э   '!Область_печати</vt:lpstr>
      <vt:lpstr>'2021 год Приказ 1831-э (2021)'!Область_печати</vt:lpstr>
      <vt:lpstr>'2022 год Приказ 1831-э (2022)'!Область_печати</vt:lpstr>
      <vt:lpstr>'2023 год Приказ 1831-э'!Область_печати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2024-04-05T06:25:37Z</dcterms:modified>
</cp:coreProperties>
</file>