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285" windowWidth="15570" windowHeight="7605"/>
  </bookViews>
  <sheets>
    <sheet name="Таблица № 4.1." sheetId="16" r:id="rId1"/>
    <sheet name="Табл. 4.2 испр" sheetId="10" r:id="rId2"/>
    <sheet name="2018" sheetId="11" r:id="rId3"/>
    <sheet name="2019" sheetId="12" r:id="rId4"/>
    <sheet name="2020" sheetId="13" r:id="rId5"/>
    <sheet name="2021" sheetId="14" r:id="rId6"/>
    <sheet name="2022" sheetId="15" r:id="rId7"/>
  </sheets>
  <definedNames>
    <definedName name="_xlnm.Print_Area" localSheetId="2">'2018'!$A$1:$Q$39</definedName>
    <definedName name="_xlnm.Print_Area" localSheetId="3">'2019'!$A$1:$I$33</definedName>
    <definedName name="_xlnm.Print_Area" localSheetId="4">'2020'!$A$1:$I$31</definedName>
    <definedName name="_xlnm.Print_Area" localSheetId="5">'2021'!$A$1:$I$26</definedName>
    <definedName name="_xlnm.Print_Area" localSheetId="6">'2022'!$A$1:$I$19</definedName>
    <definedName name="_xlnm.Print_Area" localSheetId="1">'Табл. 4.2 испр'!$A$1:$DW$52</definedName>
  </definedNames>
  <calcPr calcId="125725"/>
</workbook>
</file>

<file path=xl/calcChain.xml><?xml version="1.0" encoding="utf-8"?>
<calcChain xmlns="http://schemas.openxmlformats.org/spreadsheetml/2006/main">
  <c r="K9" i="14"/>
  <c r="BL18" i="16"/>
  <c r="BL79"/>
  <c r="BL77" s="1"/>
  <c r="O33" i="1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H11" i="13"/>
  <c r="E30" i="12"/>
  <c r="I10"/>
  <c r="BL74" i="16"/>
  <c r="BL25"/>
  <c r="O34" i="11"/>
  <c r="BL17" i="16"/>
  <c r="H10" i="11" l="1"/>
  <c r="G10"/>
  <c r="F10"/>
  <c r="E10"/>
  <c r="D10"/>
  <c r="BJ26" i="10"/>
  <c r="BJ15"/>
  <c r="BJ14" s="1"/>
  <c r="O35" i="11"/>
  <c r="I10" l="1"/>
  <c r="BJ13" i="10"/>
  <c r="BJ38" s="1"/>
  <c r="L10" i="11" l="1"/>
  <c r="O12"/>
  <c r="O31"/>
  <c r="K12"/>
  <c r="M10"/>
  <c r="BU22" i="10" s="1"/>
  <c r="N10" i="11"/>
  <c r="BU28" i="10" s="1"/>
  <c r="BU26" s="1"/>
  <c r="J33" i="11"/>
  <c r="P30"/>
  <c r="P29"/>
  <c r="P28"/>
  <c r="P27"/>
  <c r="J27" s="1"/>
  <c r="P20"/>
  <c r="P15"/>
  <c r="J15" s="1"/>
  <c r="P18"/>
  <c r="J18" s="1"/>
  <c r="P19"/>
  <c r="J20"/>
  <c r="P26"/>
  <c r="J26" s="1"/>
  <c r="P24"/>
  <c r="J24" s="1"/>
  <c r="P23"/>
  <c r="J23" s="1"/>
  <c r="P22"/>
  <c r="P21"/>
  <c r="J21" s="1"/>
  <c r="J19"/>
  <c r="P17"/>
  <c r="J17" s="1"/>
  <c r="P14"/>
  <c r="P11"/>
  <c r="H25" i="12"/>
  <c r="I11" i="13"/>
  <c r="E11"/>
  <c r="K10" i="11" l="1"/>
  <c r="S10" s="1"/>
  <c r="O10"/>
  <c r="BU20" i="10" s="1"/>
  <c r="P10" i="11"/>
  <c r="J14"/>
  <c r="J22"/>
  <c r="J11"/>
  <c r="BU25" i="10" l="1"/>
  <c r="T10" i="11"/>
  <c r="E12" i="15"/>
  <c r="DP77" i="16"/>
  <c r="DB77"/>
  <c r="CN77"/>
  <c r="BZ77"/>
  <c r="DP79"/>
  <c r="DB79"/>
  <c r="CN79"/>
  <c r="BZ79"/>
  <c r="DP74" l="1"/>
  <c r="DB74"/>
  <c r="CN74"/>
  <c r="BZ74"/>
  <c r="BL45"/>
  <c r="DP35"/>
  <c r="DB35"/>
  <c r="CN35"/>
  <c r="BZ35"/>
  <c r="BZ34" s="1"/>
  <c r="BL35"/>
  <c r="BL34" s="1"/>
  <c r="CN32"/>
  <c r="DB32" s="1"/>
  <c r="DP32" s="1"/>
  <c r="CN31"/>
  <c r="DB31" s="1"/>
  <c r="DP31" s="1"/>
  <c r="CN30"/>
  <c r="BL28"/>
  <c r="CN27"/>
  <c r="DB27" s="1"/>
  <c r="DP27" s="1"/>
  <c r="CN25"/>
  <c r="DB25" s="1"/>
  <c r="DP25" s="1"/>
  <c r="CN24"/>
  <c r="DB24" s="1"/>
  <c r="DP24" s="1"/>
  <c r="CN23"/>
  <c r="DB23" s="1"/>
  <c r="DP23" s="1"/>
  <c r="BL20"/>
  <c r="CN89"/>
  <c r="BZ89"/>
  <c r="BZ28" l="1"/>
  <c r="DB15"/>
  <c r="DB82" s="1"/>
  <c r="BL19"/>
  <c r="CN28"/>
  <c r="DB30"/>
  <c r="BL15"/>
  <c r="DP15"/>
  <c r="DP82" s="1"/>
  <c r="BZ45"/>
  <c r="DB89"/>
  <c r="BZ20"/>
  <c r="BZ15"/>
  <c r="BZ82" s="1"/>
  <c r="CN15"/>
  <c r="CN82" s="1"/>
  <c r="CN45"/>
  <c r="DB39"/>
  <c r="DP34" s="1"/>
  <c r="CN34"/>
  <c r="CN22"/>
  <c r="BL89"/>
  <c r="DP89"/>
  <c r="BZ19" l="1"/>
  <c r="BZ33" s="1"/>
  <c r="BL33"/>
  <c r="BL42" s="1"/>
  <c r="BL87" s="1"/>
  <c r="BL82"/>
  <c r="DB28"/>
  <c r="DP30"/>
  <c r="DP28" s="1"/>
  <c r="DB34"/>
  <c r="DB45"/>
  <c r="DP45"/>
  <c r="DB22"/>
  <c r="CN20"/>
  <c r="CN19" s="1"/>
  <c r="BZ42" l="1"/>
  <c r="BZ87" s="1"/>
  <c r="BL43"/>
  <c r="BL83" s="1"/>
  <c r="BL84" s="1"/>
  <c r="DB20"/>
  <c r="DB19" s="1"/>
  <c r="DP22"/>
  <c r="DP20" s="1"/>
  <c r="DP19" s="1"/>
  <c r="CN33"/>
  <c r="CN42" s="1"/>
  <c r="BZ43" l="1"/>
  <c r="BZ83" s="1"/>
  <c r="BZ84" s="1"/>
  <c r="BL44"/>
  <c r="DP33"/>
  <c r="DP42" s="1"/>
  <c r="DB33"/>
  <c r="DB42" s="1"/>
  <c r="CN87"/>
  <c r="CN43"/>
  <c r="CN83" s="1"/>
  <c r="CN84" s="1"/>
  <c r="BZ44" l="1"/>
  <c r="DP43"/>
  <c r="DP83" s="1"/>
  <c r="DP84" s="1"/>
  <c r="DP87"/>
  <c r="CN44"/>
  <c r="DB87"/>
  <c r="DB43"/>
  <c r="DB83" s="1"/>
  <c r="DB84" s="1"/>
  <c r="DB44" l="1"/>
  <c r="DP44"/>
  <c r="BU15" i="10"/>
  <c r="BU14" s="1"/>
  <c r="BU21"/>
  <c r="BU13" s="1"/>
  <c r="BU38" s="1"/>
  <c r="I12" i="15"/>
  <c r="D12" s="1"/>
  <c r="I16"/>
  <c r="I15"/>
  <c r="I11"/>
  <c r="D11" s="1"/>
  <c r="I10"/>
  <c r="I14"/>
  <c r="D14" s="1"/>
  <c r="G9"/>
  <c r="D19" i="14"/>
  <c r="H9"/>
  <c r="DB20" i="10" s="1"/>
  <c r="D23" i="14"/>
  <c r="D20"/>
  <c r="D16"/>
  <c r="G9"/>
  <c r="D11" i="13"/>
  <c r="I27"/>
  <c r="D27" s="1"/>
  <c r="I28"/>
  <c r="D28" s="1"/>
  <c r="I23"/>
  <c r="I15"/>
  <c r="F9"/>
  <c r="CQ22" i="10" s="1"/>
  <c r="I26" i="13"/>
  <c r="I25"/>
  <c r="I24"/>
  <c r="I22"/>
  <c r="I21"/>
  <c r="I20"/>
  <c r="I19"/>
  <c r="D19" s="1"/>
  <c r="I18"/>
  <c r="D18" s="1"/>
  <c r="I17"/>
  <c r="I16"/>
  <c r="I14"/>
  <c r="I13"/>
  <c r="I12"/>
  <c r="D12" s="1"/>
  <c r="G9"/>
  <c r="I11" i="12"/>
  <c r="D11" s="1"/>
  <c r="I12"/>
  <c r="I13"/>
  <c r="I14"/>
  <c r="D14" s="1"/>
  <c r="I16"/>
  <c r="I17"/>
  <c r="I18"/>
  <c r="D18" s="1"/>
  <c r="I30"/>
  <c r="F9"/>
  <c r="CF22" i="10" s="1"/>
  <c r="G9" i="12"/>
  <c r="I15"/>
  <c r="D15" s="1"/>
  <c r="I29"/>
  <c r="I26"/>
  <c r="D26" s="1"/>
  <c r="I25"/>
  <c r="I28"/>
  <c r="I27"/>
  <c r="I24"/>
  <c r="I23"/>
  <c r="D23" s="1"/>
  <c r="I22"/>
  <c r="D22" s="1"/>
  <c r="I21"/>
  <c r="I20"/>
  <c r="I19"/>
  <c r="D19" s="1"/>
  <c r="J30" i="11"/>
  <c r="J29"/>
  <c r="J32"/>
  <c r="J28" l="1"/>
  <c r="J10" s="1"/>
  <c r="E9" i="15"/>
  <c r="F9"/>
  <c r="DM22" i="10" s="1"/>
  <c r="D16" i="15"/>
  <c r="H9"/>
  <c r="DM20" i="10" s="1"/>
  <c r="D15" i="15"/>
  <c r="D10"/>
  <c r="D21" i="14"/>
  <c r="D10"/>
  <c r="F9"/>
  <c r="DB22" i="10" s="1"/>
  <c r="D22" i="14"/>
  <c r="E9"/>
  <c r="D15"/>
  <c r="D12"/>
  <c r="D18"/>
  <c r="D11"/>
  <c r="D13"/>
  <c r="D14"/>
  <c r="E9" i="13"/>
  <c r="D14"/>
  <c r="I10"/>
  <c r="D10" s="1"/>
  <c r="D26"/>
  <c r="D24"/>
  <c r="D23"/>
  <c r="D15"/>
  <c r="D13"/>
  <c r="D16"/>
  <c r="D20"/>
  <c r="I9"/>
  <c r="CQ25" i="10" s="1"/>
  <c r="H9" i="13"/>
  <c r="CQ20" i="10" s="1"/>
  <c r="D22" i="13"/>
  <c r="D21"/>
  <c r="D25"/>
  <c r="D17"/>
  <c r="H9" i="12"/>
  <c r="CF20" i="10" s="1"/>
  <c r="D10" i="12"/>
  <c r="E9"/>
  <c r="I9"/>
  <c r="CF25" i="10" s="1"/>
  <c r="D13" i="12"/>
  <c r="D27"/>
  <c r="D12"/>
  <c r="D21"/>
  <c r="D17"/>
  <c r="D29"/>
  <c r="D25"/>
  <c r="D30"/>
  <c r="D28"/>
  <c r="D16"/>
  <c r="D20"/>
  <c r="D24"/>
  <c r="I9" i="15" l="1"/>
  <c r="DM25" i="10" s="1"/>
  <c r="D9" i="15"/>
  <c r="K9" s="1"/>
  <c r="I9" i="14"/>
  <c r="DB25" i="10" s="1"/>
  <c r="D17" i="14"/>
  <c r="D9" s="1"/>
  <c r="D9" i="13"/>
  <c r="K9" s="1"/>
  <c r="D9" i="12"/>
  <c r="K9" s="1"/>
  <c r="DM21" i="10"/>
  <c r="DB21"/>
  <c r="CQ21"/>
  <c r="CF21"/>
  <c r="CF15"/>
  <c r="CF14" s="1"/>
  <c r="CF13" l="1"/>
  <c r="CF38" s="1"/>
  <c r="CQ15"/>
  <c r="DB15" l="1"/>
  <c r="DB14" s="1"/>
  <c r="DB13" s="1"/>
  <c r="DB38" s="1"/>
  <c r="CQ14"/>
  <c r="CQ13" s="1"/>
  <c r="CQ38" s="1"/>
  <c r="DM15" l="1"/>
  <c r="DM14" s="1"/>
  <c r="DM13" s="1"/>
  <c r="DM38" s="1"/>
</calcChain>
</file>

<file path=xl/sharedStrings.xml><?xml version="1.0" encoding="utf-8"?>
<sst xmlns="http://schemas.openxmlformats.org/spreadsheetml/2006/main" count="504" uniqueCount="389">
  <si>
    <t>№ п/п</t>
  </si>
  <si>
    <t>1</t>
  </si>
  <si>
    <t>1.1</t>
  </si>
  <si>
    <t>1.2</t>
  </si>
  <si>
    <t>1.3</t>
  </si>
  <si>
    <t>1.4</t>
  </si>
  <si>
    <t>1.5</t>
  </si>
  <si>
    <t>1.1.1</t>
  </si>
  <si>
    <t>2.1</t>
  </si>
  <si>
    <t>2.2</t>
  </si>
  <si>
    <t>2.3</t>
  </si>
  <si>
    <t>2.4</t>
  </si>
  <si>
    <t>2.5</t>
  </si>
  <si>
    <t>2.6</t>
  </si>
  <si>
    <t>2.7</t>
  </si>
  <si>
    <t>Справочно:</t>
  </si>
  <si>
    <t>2</t>
  </si>
  <si>
    <t>3</t>
  </si>
  <si>
    <t>4</t>
  </si>
  <si>
    <t>Приложение № 4.2
к Приказу Минэнерго России
от 24.03.2010 № 114</t>
  </si>
  <si>
    <t>Источники финансирования инвестиционных программ
(в прогнозных ценах соответствующих лет), млн. рублей</t>
  </si>
  <si>
    <t>М.П.</t>
  </si>
  <si>
    <t>№ №</t>
  </si>
  <si>
    <t>Источник финансирования</t>
  </si>
  <si>
    <t>Прибыль, направляемая на инвестиции:</t>
  </si>
  <si>
    <t>1.1.2</t>
  </si>
  <si>
    <t>в т.ч. прибыль со свободного сектора</t>
  </si>
  <si>
    <t>1.1.3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</si>
  <si>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</si>
  <si>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</si>
  <si>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</si>
  <si>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</si>
  <si>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</si>
  <si>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</si>
  <si>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</si>
  <si>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</si>
  <si>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</si>
  <si>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</si>
  <si>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</si>
  <si>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</si>
  <si>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</si>
  <si>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</si>
  <si>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1.4.1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</si>
  <si>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</si>
  <si>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</si>
  <si>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</si>
  <si>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</si>
  <si>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</si>
  <si>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</si>
  <si>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</si>
  <si>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</si>
  <si>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</si>
  <si>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</si>
  <si>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</si>
  <si>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ДПМ</t>
  </si>
  <si>
    <t>вне ДПМ</t>
  </si>
  <si>
    <t>*</t>
  </si>
  <si>
    <t>План, в соответствии с утвержденной инвестиционной программой, указать, кем и когда утверждена инвестиционная программа.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</si>
  <si>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</si>
  <si>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</si>
  <si>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>План *
2020 год</t>
  </si>
  <si>
    <t>План *
2021 год</t>
  </si>
  <si>
    <t>План *
2022 год</t>
  </si>
  <si>
    <t>УТВЕРЖДАЮ</t>
  </si>
  <si>
    <t>СОГЛАСОВАНО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</si>
  <si>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</si>
  <si>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</si>
  <si>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>Показатели</t>
  </si>
  <si>
    <t>всего</t>
  </si>
  <si>
    <t>I</t>
  </si>
  <si>
    <t>Выручка от реализации товаров (работ, услуг), всего</t>
  </si>
  <si>
    <t>в том числе:</t>
  </si>
  <si>
    <t>Выручка от прочей деятельности (расшифровать)</t>
  </si>
  <si>
    <t>II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</si>
  <si>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</si>
  <si>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</si>
  <si>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</si>
  <si>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</si>
  <si>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</si>
  <si>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</si>
  <si>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и сборы, всего</t>
  </si>
  <si>
    <t>5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</si>
  <si>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</si>
  <si>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</si>
  <si>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</si>
  <si>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</si>
  <si>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</si>
  <si>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</si>
  <si>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</si>
  <si>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</si>
  <si>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</si>
  <si>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</si>
  <si>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</si>
  <si>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</si>
  <si>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</si>
  <si>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</si>
  <si>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</si>
  <si>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</si>
  <si>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</si>
  <si>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</si>
  <si>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</si>
  <si>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</si>
  <si>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</si>
  <si>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</si>
  <si>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</si>
  <si>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</si>
  <si>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</si>
  <si>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</si>
  <si>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</si>
  <si>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</si>
  <si>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</si>
  <si>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</si>
  <si>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</si>
  <si>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</si>
  <si>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</si>
  <si>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</si>
  <si>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</si>
  <si>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</si>
  <si>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</si>
  <si>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</si>
  <si>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</si>
  <si>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</si>
  <si>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</si>
  <si>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</si>
  <si>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</si>
  <si>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</si>
  <si>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</si>
  <si>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</si>
  <si>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</si>
  <si>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</si>
  <si>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</si>
  <si>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  <charset val="204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</si>
  <si>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</si>
  <si>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</si>
  <si>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</si>
  <si>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</si>
  <si>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</si>
  <si>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</si>
  <si>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</si>
  <si>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XVII</t>
  </si>
  <si>
    <t>Всего расходы
(II р. - 3 п. II р. + 2 п. IV р. + 1 п. IX р. + 2 п. X р. + VI р. + VIII р. + XII р. + 1 п. XIV р. + XVI р.)</t>
  </si>
  <si>
    <t>EBITDA</t>
  </si>
  <si>
    <t>Долг на конец периода</t>
  </si>
  <si>
    <t>Прогноз тарифов</t>
  </si>
  <si>
    <t>Заполняется ОГК/ТГК.</t>
  </si>
  <si>
    <t>Генеральный директор АО "МЭС"</t>
  </si>
  <si>
    <t>2018г</t>
  </si>
  <si>
    <t>2019г</t>
  </si>
  <si>
    <t>2020г</t>
  </si>
  <si>
    <t>2021г</t>
  </si>
  <si>
    <t>2022г</t>
  </si>
  <si>
    <t>Выручка от основной деятельности : услуги по передаче электрической энергии</t>
  </si>
  <si>
    <t>Ульянкова В.В.</t>
  </si>
  <si>
    <t xml:space="preserve"> Ульянкова В.В.</t>
  </si>
  <si>
    <t>(815 35) 7 37 35</t>
  </si>
  <si>
    <t>Зам. генерального директора по экономике и финансам ________________________________________ А.А. Степанов</t>
  </si>
  <si>
    <t>__________________А.Ю.Филиппов</t>
  </si>
  <si>
    <t>___________________А.Ю. Филиппов</t>
  </si>
  <si>
    <t xml:space="preserve">  Наименование инвестиционного проекта (группы инвестиционных проектов)</t>
  </si>
  <si>
    <t>Идентификатор инвестицион-ного проекта</t>
  </si>
  <si>
    <t>в том   числе:</t>
  </si>
  <si>
    <t>ВСЕГО</t>
  </si>
  <si>
    <t>Общий объем финансирования</t>
  </si>
  <si>
    <t>Источник финансирования  ( млн. руб)</t>
  </si>
  <si>
    <t>Инвестиционная составляющая в тарифе</t>
  </si>
  <si>
    <t xml:space="preserve">Средства  за  счёт арендной платы (арендодатель ГОУТП "ТЭКОС") </t>
  </si>
  <si>
    <t xml:space="preserve">ВЛ 10 кВ №  9  Замена проводов АС-120 на провод АС-50 опоры № 1-40  </t>
  </si>
  <si>
    <t>I_Кр_ВЛ№9_111113.1.01</t>
  </si>
  <si>
    <t>I_Кр_ТП103_111231.02</t>
  </si>
  <si>
    <t>I_Кр_ТП107_111231.09</t>
  </si>
  <si>
    <t>I_ПрН_РП1_111232.01</t>
  </si>
  <si>
    <t>I_ПрН_РП2_111232.02</t>
  </si>
  <si>
    <t>I_ПрЗ_РП1_111232.03</t>
  </si>
  <si>
    <t>I_ПрЗ_РП4_111232.05</t>
  </si>
  <si>
    <t>I_ПрЗ_РП3_111232.06</t>
  </si>
  <si>
    <t>I_ПрЗ_РП2_111232.08</t>
  </si>
  <si>
    <t>Прибор для проверки свечей зажигания SL-100</t>
  </si>
  <si>
    <t>I_Кр_ОС_17421.01</t>
  </si>
  <si>
    <t>Компрессор поршневой СБ4/С-100</t>
  </si>
  <si>
    <t>I_Кр_ОС_17421.03</t>
  </si>
  <si>
    <t>Многофункциональный измеритель параметров электроустановок METREL MI 3102H Eurotest XE 2,5кВ</t>
  </si>
  <si>
    <t>I_Пр_ОС_17422.01</t>
  </si>
  <si>
    <t>I_Пр_ОС_17422.02</t>
  </si>
  <si>
    <t>Комплектное испытательное устройство для проверки автоматических выключателей до 12 КА  "Сатурн - М1</t>
  </si>
  <si>
    <t>I_Пр_ОС_17422.03</t>
  </si>
  <si>
    <t>Нагрузочный трансформатор РЕТ-3000</t>
  </si>
  <si>
    <t>I_Пр_ОС_17422.04</t>
  </si>
  <si>
    <t>I_Кр_ТС_1751.01</t>
  </si>
  <si>
    <t>I_Кр_ТС_1751.03</t>
  </si>
  <si>
    <t>I_Пр_ТС_1752.01</t>
  </si>
  <si>
    <r>
      <rPr>
        <b/>
        <sz val="10"/>
        <rFont val="Times New Roman"/>
        <family val="1"/>
        <charset val="204"/>
      </rPr>
      <t>ТП-103.</t>
    </r>
    <r>
      <rPr>
        <sz val="10"/>
        <rFont val="Times New Roman"/>
        <family val="1"/>
        <charset val="204"/>
      </rPr>
      <t xml:space="preserve"> Замена силовых трансформаторов ТМ-320/10/0,4 на ТМГ 10/0,4-400 кВА 2 шт.</t>
    </r>
  </si>
  <si>
    <r>
      <rPr>
        <b/>
        <sz val="10"/>
        <rFont val="Times New Roman"/>
        <family val="1"/>
        <charset val="204"/>
      </rPr>
      <t xml:space="preserve">ТП-107. </t>
    </r>
    <r>
      <rPr>
        <sz val="10"/>
        <rFont val="Times New Roman"/>
        <family val="1"/>
        <charset val="204"/>
      </rPr>
      <t>Замена силового трансформатора ТМ-250/10/0,4 на ТМГСУ 10/0,4-250 кВА 2 шт.</t>
    </r>
  </si>
  <si>
    <r>
      <rPr>
        <b/>
        <sz val="10"/>
        <rFont val="Times New Roman"/>
        <family val="1"/>
        <charset val="204"/>
      </rPr>
      <t>РП-1 пгт.Никель.</t>
    </r>
    <r>
      <rPr>
        <sz val="10"/>
        <rFont val="Times New Roman"/>
        <family val="1"/>
        <charset val="204"/>
      </rPr>
      <t xml:space="preserve"> Замена масляных выключателей ВМГ-10 на вакуумный ВВ-TEL 3 шт.</t>
    </r>
  </si>
  <si>
    <r>
      <rPr>
        <b/>
        <sz val="10"/>
        <rFont val="Times New Roman"/>
        <family val="1"/>
        <charset val="204"/>
      </rPr>
      <t>РП-2 пгт.Никель.</t>
    </r>
    <r>
      <rPr>
        <sz val="10"/>
        <rFont val="Times New Roman"/>
        <family val="1"/>
        <charset val="204"/>
      </rPr>
      <t>Замена масляных выключателей ВМП-10 на вакуумный ВВ-TEL 3 шт.</t>
    </r>
  </si>
  <si>
    <r>
      <rPr>
        <b/>
        <sz val="10"/>
        <rFont val="Times New Roman"/>
        <family val="1"/>
        <charset val="204"/>
      </rPr>
      <t xml:space="preserve">РП-1 г.Заполярный. </t>
    </r>
    <r>
      <rPr>
        <sz val="10"/>
        <rFont val="Times New Roman"/>
        <family val="1"/>
        <charset val="204"/>
      </rPr>
      <t>Замена масляных выключателей ВМП-10 на вакуумный ВВ-TEL 3 шт.</t>
    </r>
  </si>
  <si>
    <r>
      <rPr>
        <b/>
        <sz val="10"/>
        <rFont val="Times New Roman"/>
        <family val="1"/>
        <charset val="204"/>
      </rPr>
      <t>РП-4 г.Заполярный.</t>
    </r>
    <r>
      <rPr>
        <sz val="10"/>
        <rFont val="Times New Roman"/>
        <family val="1"/>
        <charset val="204"/>
      </rPr>
      <t xml:space="preserve"> Замена масляных выключателей ВМП-10 на вакуумный ВВ-TEL 3 шт.</t>
    </r>
  </si>
  <si>
    <r>
      <rPr>
        <b/>
        <sz val="10"/>
        <rFont val="Times New Roman"/>
        <family val="1"/>
        <charset val="204"/>
      </rPr>
      <t>РП-3 г.Заполярный.</t>
    </r>
    <r>
      <rPr>
        <sz val="10"/>
        <rFont val="Times New Roman"/>
        <family val="1"/>
        <charset val="204"/>
      </rPr>
      <t>Замена масляных выключателей ВМГ-133 на вакуумный ВВ-TEL  3 шт.</t>
    </r>
  </si>
  <si>
    <r>
      <rPr>
        <b/>
        <sz val="10"/>
        <rFont val="Times New Roman"/>
        <family val="1"/>
        <charset val="204"/>
      </rPr>
      <t>РП-2 г.Заполярный.</t>
    </r>
    <r>
      <rPr>
        <sz val="10"/>
        <rFont val="Times New Roman"/>
        <family val="1"/>
        <charset val="204"/>
      </rPr>
      <t xml:space="preserve"> Замена масляных выключателей ВМГ-133 на вакуумный ВВ-TEL 3 шт.</t>
    </r>
  </si>
  <si>
    <t xml:space="preserve">ВЛ 10 кВ № 9  Замена проводов АС-120 на провод АС-50 опоры № 41-80  </t>
  </si>
  <si>
    <t>J_Кр_ВЛ№9_111113.1.02</t>
  </si>
  <si>
    <t>J_Кр_ТП92_111231.03</t>
  </si>
  <si>
    <t>J_Кр_ТП71_111231.07</t>
  </si>
  <si>
    <t>J_Кр_КТПН108_111231.14</t>
  </si>
  <si>
    <t>J_ПрН_РП5_111232.07</t>
  </si>
  <si>
    <t>J_ПрН_ТП29_111232.09</t>
  </si>
  <si>
    <t>J_ПрЗ_ТП1_111232.12</t>
  </si>
  <si>
    <t>J_ПрЗ_ТП9_111232.23</t>
  </si>
  <si>
    <t>J_ПрН_ТП15_111232.24</t>
  </si>
  <si>
    <t>J_ПрЗ_ТП5_111232.25</t>
  </si>
  <si>
    <t>J_ПрЗ_ТП10Б_111232.26</t>
  </si>
  <si>
    <t>J_ПрЗ_ТП24_111232.27</t>
  </si>
  <si>
    <t>J_ПрН_ТП37_111232.32</t>
  </si>
  <si>
    <t>J_ПрН_ТП65_111232.33</t>
  </si>
  <si>
    <t>J_ПрН_ТП43_111232.34</t>
  </si>
  <si>
    <t>Прибор для испытания масла  АИМ-90А 1.шт.</t>
  </si>
  <si>
    <t>J_Кр_ОС_17421.04</t>
  </si>
  <si>
    <t>Тепловизор TESTO 875-2i (0563 0875 V2) 1.шт.</t>
  </si>
  <si>
    <t>J_Кр_ОС_17421.05</t>
  </si>
  <si>
    <t>Генератор бензиновый, 4-х тактный, ручной и электрический пуск, ЗУБР ЗЭСБ-4500-Э</t>
  </si>
  <si>
    <t>J_Кр_ОС_17421.06</t>
  </si>
  <si>
    <t>Сверлильный станок DMI -25/400</t>
  </si>
  <si>
    <t>J_Кр_ОС_17421.07</t>
  </si>
  <si>
    <t>Профелегиб гидравлический ручной Stalex HB</t>
  </si>
  <si>
    <t>J_Кр_ОС_17421.08</t>
  </si>
  <si>
    <t>Автомобиль бортовой грузовой с манипулятором (грузоподъемность 5 т)</t>
  </si>
  <si>
    <t>J_Пр_ТС_1752.02</t>
  </si>
  <si>
    <r>
      <rPr>
        <b/>
        <sz val="10"/>
        <color theme="1"/>
        <rFont val="Times New Roman"/>
        <family val="1"/>
        <charset val="204"/>
      </rPr>
      <t>ТП-92.</t>
    </r>
    <r>
      <rPr>
        <sz val="10"/>
        <color theme="1"/>
        <rFont val="Times New Roman"/>
        <family val="1"/>
        <charset val="204"/>
      </rPr>
      <t xml:space="preserve">  Замена силовых трансформаторов ТМ-400/6/0,4 на ТМГ 6/0,4-400 кВА 2 шт.</t>
    </r>
  </si>
  <si>
    <r>
      <rPr>
        <b/>
        <sz val="10"/>
        <color theme="1"/>
        <rFont val="Times New Roman"/>
        <family val="1"/>
        <charset val="204"/>
      </rPr>
      <t xml:space="preserve">ТП-71. </t>
    </r>
    <r>
      <rPr>
        <sz val="10"/>
        <color theme="1"/>
        <rFont val="Times New Roman"/>
        <family val="1"/>
        <charset val="204"/>
      </rPr>
      <t xml:space="preserve">ТМ-400 6/0.4 зав.№ 54325  и .№  728288  ввод в эксплуатацию1972г. - 2 шт;    </t>
    </r>
  </si>
  <si>
    <r>
      <rPr>
        <b/>
        <sz val="10"/>
        <color theme="1"/>
        <rFont val="Times New Roman"/>
        <family val="1"/>
        <charset val="204"/>
      </rPr>
      <t>КТПН-108</t>
    </r>
    <r>
      <rPr>
        <sz val="10"/>
        <color theme="1"/>
        <rFont val="Times New Roman"/>
        <family val="1"/>
        <charset val="204"/>
      </rPr>
      <t>, электрооборудование 10 кВ, 0,4 кВ, силовой трансформатор  ТМ 10/0,4 250 кВа - 1 шт. Замена КТПН на новую с трансформатором 250 кВА 10/0,4 кВ</t>
    </r>
  </si>
  <si>
    <r>
      <rPr>
        <b/>
        <sz val="10"/>
        <color theme="1"/>
        <rFont val="Times New Roman"/>
        <family val="1"/>
        <charset val="204"/>
      </rPr>
      <t>РП-5 пгт.Никель.</t>
    </r>
    <r>
      <rPr>
        <sz val="10"/>
        <color theme="1"/>
        <rFont val="Times New Roman"/>
        <family val="1"/>
        <charset val="204"/>
      </rPr>
      <t>Замена масляных выключателей ВМП-10 на вакуумный ВВ-TEL 3 шт.</t>
    </r>
  </si>
  <si>
    <r>
      <rPr>
        <b/>
        <sz val="10"/>
        <color theme="1"/>
        <rFont val="Times New Roman"/>
        <family val="1"/>
        <charset val="204"/>
      </rPr>
      <t>ТП-29 пгт.Никель.</t>
    </r>
    <r>
      <rPr>
        <sz val="10"/>
        <color theme="1"/>
        <rFont val="Times New Roman"/>
        <family val="1"/>
        <charset val="204"/>
      </rPr>
      <t xml:space="preserve"> Замена масляного выключателя ВМГ-10 на вакуумный ВВ-TEL</t>
    </r>
  </si>
  <si>
    <r>
      <rPr>
        <b/>
        <sz val="10"/>
        <color theme="1"/>
        <rFont val="Times New Roman"/>
        <family val="1"/>
        <charset val="204"/>
      </rPr>
      <t>ТП-1 г.Заполярный.</t>
    </r>
    <r>
      <rPr>
        <sz val="10"/>
        <color theme="1"/>
        <rFont val="Times New Roman"/>
        <family val="1"/>
        <charset val="204"/>
      </rPr>
      <t xml:space="preserve"> Замена силовых трансформаторов на ТМГ 6/0,4-400 кВА 2 шт.</t>
    </r>
  </si>
  <si>
    <r>
      <rPr>
        <b/>
        <sz val="10"/>
        <color theme="1"/>
        <rFont val="Times New Roman"/>
        <family val="1"/>
        <charset val="204"/>
      </rPr>
      <t>ТП-9 г.Заполярный.</t>
    </r>
    <r>
      <rPr>
        <sz val="10"/>
        <color theme="1"/>
        <rFont val="Times New Roman"/>
        <family val="1"/>
        <charset val="204"/>
      </rPr>
      <t xml:space="preserve"> Замена силовых трансформаторов на ТМГ 6/0,4-400 кВА 2 шт.</t>
    </r>
  </si>
  <si>
    <r>
      <rPr>
        <b/>
        <sz val="10"/>
        <color theme="1"/>
        <rFont val="Times New Roman"/>
        <family val="1"/>
        <charset val="204"/>
      </rPr>
      <t xml:space="preserve">ТП-15 п. Никель. </t>
    </r>
    <r>
      <rPr>
        <sz val="10"/>
        <color theme="1"/>
        <rFont val="Times New Roman"/>
        <family val="1"/>
        <charset val="204"/>
      </rPr>
      <t>Замена силовых трансформаторов на ТМГ 10/0,4-400 кВА 1шт.</t>
    </r>
  </si>
  <si>
    <r>
      <rPr>
        <b/>
        <sz val="10"/>
        <color theme="1"/>
        <rFont val="Times New Roman"/>
        <family val="1"/>
        <charset val="204"/>
      </rPr>
      <t xml:space="preserve">ТП-5 г.Заполярный. </t>
    </r>
    <r>
      <rPr>
        <sz val="10"/>
        <color theme="1"/>
        <rFont val="Times New Roman"/>
        <family val="1"/>
        <charset val="204"/>
      </rPr>
      <t>Замена силовых трансформаторов на ТМГ 6/0,4-400 кВА 2шт.</t>
    </r>
  </si>
  <si>
    <r>
      <rPr>
        <b/>
        <sz val="10"/>
        <color theme="1"/>
        <rFont val="Times New Roman"/>
        <family val="1"/>
        <charset val="204"/>
      </rPr>
      <t>ТП-10Б  г. Заполярный.</t>
    </r>
    <r>
      <rPr>
        <sz val="10"/>
        <color theme="1"/>
        <rFont val="Times New Roman"/>
        <family val="1"/>
        <charset val="204"/>
      </rPr>
      <t xml:space="preserve"> Замена силовых трансформаторов на ТМГ 6/0,4-400 кВА 1шт.</t>
    </r>
  </si>
  <si>
    <r>
      <rPr>
        <b/>
        <sz val="10"/>
        <color theme="1"/>
        <rFont val="Times New Roman"/>
        <family val="1"/>
        <charset val="204"/>
      </rPr>
      <t>ТП-24  г.Заполярный</t>
    </r>
    <r>
      <rPr>
        <sz val="10"/>
        <color theme="1"/>
        <rFont val="Times New Roman"/>
        <family val="1"/>
        <charset val="204"/>
      </rPr>
      <t>. Замена силовых трансформаторов на ТМГ 6/0,4-630 кВА 2шт.</t>
    </r>
  </si>
  <si>
    <r>
      <rPr>
        <b/>
        <sz val="10"/>
        <color theme="1"/>
        <rFont val="Times New Roman"/>
        <family val="1"/>
        <charset val="204"/>
      </rPr>
      <t xml:space="preserve">ТП-37 пгт.Никель. </t>
    </r>
    <r>
      <rPr>
        <sz val="10"/>
        <color theme="1"/>
        <rFont val="Times New Roman"/>
        <family val="1"/>
        <charset val="204"/>
      </rPr>
      <t>Замена силовых трансформаторов на ТМГ 10/0,4-400 кВА 1 шт.</t>
    </r>
  </si>
  <si>
    <r>
      <rPr>
        <b/>
        <sz val="10"/>
        <color theme="1"/>
        <rFont val="Times New Roman"/>
        <family val="1"/>
        <charset val="204"/>
      </rPr>
      <t>ТП-65 пгт.Никель.</t>
    </r>
    <r>
      <rPr>
        <sz val="10"/>
        <color theme="1"/>
        <rFont val="Times New Roman"/>
        <family val="1"/>
        <charset val="204"/>
      </rPr>
      <t xml:space="preserve"> Замена силовых трансформаторов на ТМГ 10/0,4-400 кВА 2 шт.</t>
    </r>
  </si>
  <si>
    <r>
      <rPr>
        <b/>
        <sz val="10"/>
        <color theme="1"/>
        <rFont val="Times New Roman"/>
        <family val="1"/>
        <charset val="204"/>
      </rPr>
      <t>ТП-43 пгт.Никель.</t>
    </r>
    <r>
      <rPr>
        <sz val="10"/>
        <color theme="1"/>
        <rFont val="Times New Roman"/>
        <family val="1"/>
        <charset val="204"/>
      </rPr>
      <t xml:space="preserve"> Замена силовых трансформаторов на ТМГ 10/0,4-400 кВА 2 шт.</t>
    </r>
  </si>
  <si>
    <t xml:space="preserve">ВЛ 10 кВ № 9  Замена проводов АС-120 на провод АС-50 опоры № 81-116, № 117-140  </t>
  </si>
  <si>
    <t>K_Кр_ВЛ№9_111113.1.03</t>
  </si>
  <si>
    <t>ТП-46 электрооборудование РУ 6 кВ, электрооборудование РУ 0,4 кВ. Модульная ПС с трансформатором ТМГ 6/0,4-400 кВА ( 2 шт)</t>
  </si>
  <si>
    <t>K_Кр_ТП46_111231.01</t>
  </si>
  <si>
    <t>K_Кр_ТП106_111231.05</t>
  </si>
  <si>
    <t>K_Кр_РП17_111231.12</t>
  </si>
  <si>
    <t>K_ПрН_ТП54_111232.10</t>
  </si>
  <si>
    <t>K_ПрН_ТП29_111232.11</t>
  </si>
  <si>
    <t>K_ПрЗ_ТП16_111232.13</t>
  </si>
  <si>
    <t>K_ПрЗ_ТП19_111232.14</t>
  </si>
  <si>
    <t>K_Пр_КТПЖдановка_111232.15</t>
  </si>
  <si>
    <t>K_ПрЗ_ТП5А_111232.16</t>
  </si>
  <si>
    <t>K_ПрЗ_ТП15_111232.17</t>
  </si>
  <si>
    <t>K_ПрН_ТП52_111232.19</t>
  </si>
  <si>
    <t>K_ПрН_РП1_111232.20</t>
  </si>
  <si>
    <t>K_ПрН_ТП49_111232.21</t>
  </si>
  <si>
    <t>K_ПрЗ_ТП11А_111232.22</t>
  </si>
  <si>
    <t>K_ПрН_ТП69_111232.28</t>
  </si>
  <si>
    <t>K_ПрН_ТП20_111232.29</t>
  </si>
  <si>
    <t>Автомобиль  УАЗ Пикап</t>
  </si>
  <si>
    <t>К_Кр_ТС_1751.04</t>
  </si>
  <si>
    <t>К_Пр_ТС_1752.02</t>
  </si>
  <si>
    <r>
      <rPr>
        <b/>
        <sz val="10"/>
        <color indexed="8"/>
        <rFont val="Times New Roman"/>
        <family val="1"/>
        <charset val="204"/>
      </rPr>
      <t>ТП-106.</t>
    </r>
    <r>
      <rPr>
        <sz val="10"/>
        <color indexed="8"/>
        <rFont val="Times New Roman"/>
        <family val="1"/>
        <charset val="204"/>
      </rPr>
      <t xml:space="preserve"> Замена силовых трансформаторов ТМ-320/10/0,4 и ТМ-400/10/0,4 на ТМГ 10/0,4-400 кВА 2 шт.</t>
    </r>
  </si>
  <si>
    <r>
      <rPr>
        <b/>
        <sz val="10"/>
        <color indexed="8"/>
        <rFont val="Times New Roman"/>
        <family val="1"/>
        <charset val="204"/>
      </rPr>
      <t>РП-17.</t>
    </r>
    <r>
      <rPr>
        <sz val="10"/>
        <color indexed="8"/>
        <rFont val="Times New Roman"/>
        <family val="1"/>
        <charset val="204"/>
      </rPr>
      <t xml:space="preserve"> ТМ-40 6/0.4 зав.№ 493881   ввод в эксплуатацию1972г.  - 1 шт;     </t>
    </r>
  </si>
  <si>
    <r>
      <rPr>
        <b/>
        <sz val="10"/>
        <rFont val="Times New Roman"/>
        <family val="1"/>
        <charset val="204"/>
      </rPr>
      <t>ТП-54 пгт.Никель.</t>
    </r>
    <r>
      <rPr>
        <sz val="10"/>
        <rFont val="Times New Roman"/>
        <family val="1"/>
        <charset val="204"/>
      </rPr>
      <t>Замена силовых трансформаторов на ТМГ 10/0,4-400 кВА 2 шт.</t>
    </r>
  </si>
  <si>
    <r>
      <rPr>
        <b/>
        <sz val="10"/>
        <rFont val="Times New Roman"/>
        <family val="1"/>
        <charset val="204"/>
      </rPr>
      <t>ТП-29 пгт.Никель.</t>
    </r>
    <r>
      <rPr>
        <sz val="10"/>
        <rFont val="Times New Roman"/>
        <family val="1"/>
        <charset val="204"/>
      </rPr>
      <t xml:space="preserve"> Замена силовых трансформаторов на ТМГ 6/0,4-400 кВА 2 шт.</t>
    </r>
  </si>
  <si>
    <r>
      <rPr>
        <b/>
        <sz val="10"/>
        <rFont val="Times New Roman"/>
        <family val="1"/>
        <charset val="204"/>
      </rPr>
      <t>ТП-16 г.Заполярный.</t>
    </r>
    <r>
      <rPr>
        <sz val="10"/>
        <rFont val="Times New Roman"/>
        <family val="1"/>
        <charset val="204"/>
      </rPr>
      <t xml:space="preserve"> Замена силовых трансформаторов на ТМГ 6/0,4-400 кВА 1 шт.</t>
    </r>
  </si>
  <si>
    <r>
      <rPr>
        <b/>
        <sz val="10"/>
        <rFont val="Times New Roman"/>
        <family val="1"/>
        <charset val="204"/>
      </rPr>
      <t xml:space="preserve">ТП-19 г.Заполярный. </t>
    </r>
    <r>
      <rPr>
        <sz val="10"/>
        <rFont val="Times New Roman"/>
        <family val="1"/>
        <charset val="204"/>
      </rPr>
      <t>Замена силовых трансформаторов на ТМГ 6/0,4-630 кВА 2 шт.</t>
    </r>
  </si>
  <si>
    <r>
      <rPr>
        <b/>
        <sz val="10"/>
        <rFont val="Times New Roman"/>
        <family val="1"/>
        <charset val="204"/>
      </rPr>
      <t>КТП "Ждановка".</t>
    </r>
    <r>
      <rPr>
        <sz val="10"/>
        <rFont val="Times New Roman"/>
        <family val="1"/>
        <charset val="204"/>
      </rPr>
      <t xml:space="preserve"> Замена силовых трансформаторов на ТМГ 6/0,4-400 кВА 1 шт.</t>
    </r>
  </si>
  <si>
    <r>
      <rPr>
        <b/>
        <sz val="10"/>
        <rFont val="Times New Roman"/>
        <family val="1"/>
        <charset val="204"/>
      </rPr>
      <t xml:space="preserve">ТП-5А г.Заполярный. </t>
    </r>
    <r>
      <rPr>
        <sz val="10"/>
        <rFont val="Times New Roman"/>
        <family val="1"/>
        <charset val="204"/>
      </rPr>
      <t>Замена силовых трансформаторов на ТМГ 6/0,4-400 кВА 2 шт.</t>
    </r>
  </si>
  <si>
    <r>
      <rPr>
        <b/>
        <sz val="10"/>
        <rFont val="Times New Roman"/>
        <family val="1"/>
        <charset val="204"/>
      </rPr>
      <t xml:space="preserve">ТП-15 г.Заполярный. </t>
    </r>
    <r>
      <rPr>
        <sz val="10"/>
        <rFont val="Times New Roman"/>
        <family val="1"/>
        <charset val="204"/>
      </rPr>
      <t>Замена силовых трансформаторов на ТМГ 6/0,4-400 кВА 2 шт.</t>
    </r>
  </si>
  <si>
    <r>
      <rPr>
        <b/>
        <sz val="10"/>
        <rFont val="Times New Roman"/>
        <family val="1"/>
        <charset val="204"/>
      </rPr>
      <t>ТП-5</t>
    </r>
    <r>
      <rPr>
        <b/>
        <sz val="10"/>
        <color indexed="6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 пгт.Никель. </t>
    </r>
    <r>
      <rPr>
        <sz val="10"/>
        <rFont val="Times New Roman"/>
        <family val="1"/>
        <charset val="204"/>
      </rPr>
      <t>Замена силовых трансформаторов на ТМГ 10/0,4-400 кВА 2 шт.</t>
    </r>
  </si>
  <si>
    <r>
      <rPr>
        <b/>
        <sz val="10"/>
        <rFont val="Times New Roman"/>
        <family val="1"/>
        <charset val="204"/>
      </rPr>
      <t>РП-1 пгт.Никель.</t>
    </r>
    <r>
      <rPr>
        <sz val="10"/>
        <rFont val="Times New Roman"/>
        <family val="1"/>
        <charset val="204"/>
      </rPr>
      <t xml:space="preserve"> Замена силовых трансформаторов на ТМГ 10/0,4-400 кВА 2 шт.</t>
    </r>
  </si>
  <si>
    <r>
      <rPr>
        <b/>
        <sz val="10"/>
        <rFont val="Times New Roman"/>
        <family val="1"/>
        <charset val="204"/>
      </rPr>
      <t xml:space="preserve">ТП-49 пгт.Никель. </t>
    </r>
    <r>
      <rPr>
        <sz val="10"/>
        <rFont val="Times New Roman"/>
        <family val="1"/>
        <charset val="204"/>
      </rPr>
      <t>Замена силовых трансформаторов на ТМГ 10/0,4-400 кВА 1 шт.</t>
    </r>
  </si>
  <si>
    <r>
      <rPr>
        <b/>
        <sz val="10"/>
        <rFont val="Times New Roman"/>
        <family val="1"/>
        <charset val="204"/>
      </rPr>
      <t xml:space="preserve">ТП-11А г.Заполярный. </t>
    </r>
    <r>
      <rPr>
        <sz val="10"/>
        <rFont val="Times New Roman"/>
        <family val="1"/>
        <charset val="204"/>
      </rPr>
      <t>Замена силовых трансформаторов на ТМГ 6/0,4-400 кВА 2шт.</t>
    </r>
  </si>
  <si>
    <r>
      <rPr>
        <b/>
        <sz val="10"/>
        <rFont val="Times New Roman"/>
        <family val="1"/>
        <charset val="204"/>
      </rPr>
      <t>ТП-69 пгт. Никель.</t>
    </r>
    <r>
      <rPr>
        <sz val="10"/>
        <rFont val="Times New Roman"/>
        <family val="1"/>
        <charset val="204"/>
      </rPr>
      <t xml:space="preserve"> Замена силовых трансформаторов на ТМГ 10/0,4-400 кВА 1 шт.</t>
    </r>
  </si>
  <si>
    <r>
      <rPr>
        <b/>
        <sz val="10"/>
        <rFont val="Times New Roman"/>
        <family val="1"/>
        <charset val="204"/>
      </rPr>
      <t>ТП-20 пгт. Никель.</t>
    </r>
    <r>
      <rPr>
        <sz val="10"/>
        <rFont val="Times New Roman"/>
        <family val="1"/>
        <charset val="204"/>
      </rPr>
      <t xml:space="preserve"> Замена силовых трансформаторов на ТМГ 10/0,4-400 кВА 1 шт.</t>
    </r>
  </si>
  <si>
    <t xml:space="preserve">ЯКНО-3, замена на новые </t>
  </si>
  <si>
    <t>L_Кр_ЯКНО3_111113.1.04</t>
  </si>
  <si>
    <t>ЯКНО-4, замена на новые</t>
  </si>
  <si>
    <t>L_Кр_ЯКНО4_111113.1.05</t>
  </si>
  <si>
    <t>ЯКНО-5, замена на новые</t>
  </si>
  <si>
    <t>L_Кр_ЯКНО5_111113.1.06</t>
  </si>
  <si>
    <t xml:space="preserve">ВЛ 0,4 кВ № 1 ТП-44, г. Ковдор ул.Гоголя, ул. Строителей. Замена проводов АС на СИП, замена деревянных опор на металлические </t>
  </si>
  <si>
    <t>L_Кр_ВЛ№1ТП44_111114.1.01</t>
  </si>
  <si>
    <t>L_Кр_ТП53_111231.04</t>
  </si>
  <si>
    <t>L_Кр_ТП87_111231.11</t>
  </si>
  <si>
    <t>L_ПрЗ_ПС26_111232.04</t>
  </si>
  <si>
    <t>L_ПрЗ_ТП14_111232.18</t>
  </si>
  <si>
    <t>L_ПрН_ТП13_111232.30</t>
  </si>
  <si>
    <t>L_ПрН_ТП24_111232.31</t>
  </si>
  <si>
    <t>Оборудование для мойки автомобилей</t>
  </si>
  <si>
    <t>L_Кр_ОС_17421.09</t>
  </si>
  <si>
    <t>Передвижная лаборатория высоковольтных испытаний</t>
  </si>
  <si>
    <t>L_Кр_ТС_1751.05</t>
  </si>
  <si>
    <t>Экскаватор TEREX TLB-825</t>
  </si>
  <si>
    <t>L_Пр_ТС_1752.03</t>
  </si>
  <si>
    <t>Строительство кабельной линии 10 кВ от РП-1 до ТП-65.Прокладка кабельной линии 10 кВ с заменой ячейки  на ТП-65</t>
  </si>
  <si>
    <t>L_ПрН_СтрРП1ТП65_211113.1.01</t>
  </si>
  <si>
    <r>
      <rPr>
        <b/>
        <sz val="10"/>
        <color indexed="8"/>
        <rFont val="Times New Roman"/>
        <family val="1"/>
        <charset val="204"/>
      </rPr>
      <t xml:space="preserve">ТП-53. </t>
    </r>
    <r>
      <rPr>
        <sz val="10"/>
        <color indexed="8"/>
        <rFont val="Times New Roman"/>
        <family val="1"/>
        <charset val="204"/>
      </rPr>
      <t>Замена силовых трансформаторов ТМ-320/6/0,4 на ТМГ 6/0,4-400 кВА 2 шт.</t>
    </r>
  </si>
  <si>
    <r>
      <rPr>
        <b/>
        <sz val="10"/>
        <color indexed="8"/>
        <rFont val="Times New Roman"/>
        <family val="1"/>
        <charset val="204"/>
      </rPr>
      <t xml:space="preserve">ТП-87. </t>
    </r>
    <r>
      <rPr>
        <sz val="10"/>
        <color indexed="8"/>
        <rFont val="Times New Roman"/>
        <family val="1"/>
        <charset val="204"/>
      </rPr>
      <t xml:space="preserve">ТМ-250 6/0.4 зав.№ 635489, ввод в эксплуатацию1972г.  - 1 шт,      </t>
    </r>
  </si>
  <si>
    <r>
      <rPr>
        <b/>
        <sz val="10"/>
        <rFont val="Times New Roman"/>
        <family val="1"/>
        <charset val="204"/>
      </rPr>
      <t>ПС-26 г.Заполярный.</t>
    </r>
    <r>
      <rPr>
        <sz val="10"/>
        <rFont val="Times New Roman"/>
        <family val="1"/>
        <charset val="204"/>
      </rPr>
      <t xml:space="preserve"> Замена масляных выключателей ВМП-10К на вакуумный ВВ-TEL 4 шт.</t>
    </r>
  </si>
  <si>
    <r>
      <rPr>
        <b/>
        <sz val="10"/>
        <rFont val="Times New Roman"/>
        <family val="1"/>
        <charset val="204"/>
      </rPr>
      <t>ТП-14 г.Заполярный.</t>
    </r>
    <r>
      <rPr>
        <sz val="10"/>
        <rFont val="Times New Roman"/>
        <family val="1"/>
        <charset val="204"/>
      </rPr>
      <t xml:space="preserve"> Замена силовых трансформаторов на ТМГ 6/0,4-630 кВА 1 шт.</t>
    </r>
  </si>
  <si>
    <r>
      <rPr>
        <b/>
        <sz val="10"/>
        <rFont val="Times New Roman"/>
        <family val="1"/>
        <charset val="204"/>
      </rPr>
      <t>ТП-13 пгт.Никель.</t>
    </r>
    <r>
      <rPr>
        <sz val="10"/>
        <rFont val="Times New Roman"/>
        <family val="1"/>
        <charset val="204"/>
      </rPr>
      <t xml:space="preserve"> Замена силовых трансформаторов на ТМГ 10/0,4-400 кВА 1 шт.</t>
    </r>
  </si>
  <si>
    <r>
      <rPr>
        <b/>
        <sz val="10"/>
        <rFont val="Times New Roman"/>
        <family val="1"/>
        <charset val="204"/>
      </rPr>
      <t>ТП-24 пгт.Никель.</t>
    </r>
    <r>
      <rPr>
        <sz val="10"/>
        <rFont val="Times New Roman"/>
        <family val="1"/>
        <charset val="204"/>
      </rPr>
      <t xml:space="preserve"> Замена силовых трансформаторов на ТМГ 10/0,4-400 кВА 1 шт.</t>
    </r>
  </si>
  <si>
    <t xml:space="preserve">ВЛ 10 кВ № 9 Замена проводов АС-120 на провод АС-50 опоры № 141-176  </t>
  </si>
  <si>
    <t>M_Кр_ВЛ№9_111113.1.07</t>
  </si>
  <si>
    <t xml:space="preserve">ВЛ 0,4 кВ № 2 ТП-44, г. Ковдор ул.Гоголя,  ул.Новая. Замена проводов АС на СИП, замена деревянных опор на металлические </t>
  </si>
  <si>
    <t>M_Кр_ВЛ№2ТП44_111114.1.02</t>
  </si>
  <si>
    <t>КЛ 6 кВ ПС-40А- ф.46 опора 2 ВЛ РП-1, замена 2-х силовых КЛ 6 кВ по 800 метров каждая</t>
  </si>
  <si>
    <t>M_Кр_КЛф46_111123.1.01</t>
  </si>
  <si>
    <t>КЛ 6 кВ ПС-40А- ф.29 опора 2 ВЛ РП-1, замена 2-х силовых КЛ 6 кВ по 800 метров каждая</t>
  </si>
  <si>
    <t>M_Кр_КЛф29_11123.1.02</t>
  </si>
  <si>
    <t>М_ПрЗ_ПС26_111232.04</t>
  </si>
  <si>
    <t>Строительство кабельной линии 10 кВ от РП-2 до РП-1. Прокладка параллельной  кабельной линии 10 кВ.</t>
  </si>
  <si>
    <t>М_ПрН_СтрКЛ_211123.1.02</t>
  </si>
  <si>
    <t>Строительство кабельной линии 10 кВ от ПС-52 до РП-1. Прокладка  кабельной лини  10кВ.</t>
  </si>
  <si>
    <t>М_ПрН_СтрКЛ_211123.1.03</t>
  </si>
  <si>
    <r>
      <rPr>
        <sz val="10"/>
        <rFont val="Times New Roman"/>
        <family val="1"/>
        <charset val="204"/>
      </rPr>
      <t>ПС-26 г.Заполярный. Замена масляных выключателей ВМП-10К на вакуумный ВВ-TEL 4 шт.</t>
    </r>
  </si>
  <si>
    <t>Заместитель главного инженера  по электрообеспечению</t>
  </si>
  <si>
    <t>Расходы по текущей деятельности (услуги по передаче ээ), всего*</t>
  </si>
  <si>
    <t>в т.ч. в части ДПМ **</t>
  </si>
  <si>
    <t>Всего поступления
(I р. + 1 п. IV р. + 2 п. IX р. + 1 п. X р. + XI р. + XIII р. + 2 п. XIV р. + XV р.)</t>
  </si>
  <si>
    <t>Продолжение  приложения № 4,2.</t>
  </si>
  <si>
    <r>
      <t xml:space="preserve">Расшифровка мероприятий   </t>
    </r>
    <r>
      <rPr>
        <b/>
        <sz val="11"/>
        <color rgb="FFFF0000"/>
        <rFont val="Calibri"/>
        <family val="2"/>
        <charset val="204"/>
        <scheme val="minor"/>
      </rPr>
      <t xml:space="preserve">2019  год </t>
    </r>
    <r>
      <rPr>
        <b/>
        <sz val="11"/>
        <color theme="1"/>
        <rFont val="Calibri"/>
        <family val="2"/>
        <charset val="204"/>
        <scheme val="minor"/>
      </rPr>
      <t xml:space="preserve"> по  источникам финансирования к  приложению № 4.2. </t>
    </r>
  </si>
  <si>
    <r>
      <t xml:space="preserve">Расшифровка мероприятий   </t>
    </r>
    <r>
      <rPr>
        <b/>
        <sz val="11"/>
        <color rgb="FFFF0000"/>
        <rFont val="Calibri"/>
        <family val="2"/>
        <charset val="204"/>
        <scheme val="minor"/>
      </rPr>
      <t>2018  год</t>
    </r>
    <r>
      <rPr>
        <b/>
        <sz val="11"/>
        <color theme="1"/>
        <rFont val="Calibri"/>
        <family val="2"/>
        <charset val="204"/>
        <scheme val="minor"/>
      </rPr>
      <t xml:space="preserve">  по  источникам финансирования к  приложению № 4.2. </t>
    </r>
  </si>
  <si>
    <r>
      <t xml:space="preserve">Расшифровка мероприятий   </t>
    </r>
    <r>
      <rPr>
        <b/>
        <sz val="11"/>
        <color rgb="FFFF0000"/>
        <rFont val="Calibri"/>
        <family val="2"/>
        <charset val="204"/>
        <scheme val="minor"/>
      </rPr>
      <t xml:space="preserve">2020  год </t>
    </r>
    <r>
      <rPr>
        <b/>
        <sz val="11"/>
        <color theme="1"/>
        <rFont val="Calibri"/>
        <family val="2"/>
        <charset val="204"/>
        <scheme val="minor"/>
      </rPr>
      <t xml:space="preserve"> по  источникам финансирования к  приложению № 4.2. </t>
    </r>
  </si>
  <si>
    <r>
      <t xml:space="preserve">Расшифровка мероприятий   </t>
    </r>
    <r>
      <rPr>
        <b/>
        <sz val="11"/>
        <color rgb="FFFF0000"/>
        <rFont val="Calibri"/>
        <family val="2"/>
        <charset val="204"/>
        <scheme val="minor"/>
      </rPr>
      <t xml:space="preserve">2021  год  </t>
    </r>
    <r>
      <rPr>
        <b/>
        <sz val="11"/>
        <color theme="1"/>
        <rFont val="Calibri"/>
        <family val="2"/>
        <charset val="204"/>
        <scheme val="minor"/>
      </rPr>
      <t xml:space="preserve">по  источникам финансирования к  приложению № 4.2. </t>
    </r>
  </si>
  <si>
    <r>
      <t xml:space="preserve">Расшифровка мероприятий   </t>
    </r>
    <r>
      <rPr>
        <b/>
        <sz val="11"/>
        <color rgb="FFFF0000"/>
        <rFont val="Calibri"/>
        <family val="2"/>
        <charset val="204"/>
        <scheme val="minor"/>
      </rPr>
      <t xml:space="preserve">2022  год  </t>
    </r>
    <r>
      <rPr>
        <b/>
        <sz val="11"/>
        <color theme="1"/>
        <rFont val="Calibri"/>
        <family val="2"/>
        <charset val="204"/>
        <scheme val="minor"/>
      </rPr>
      <t xml:space="preserve">по  источникам финансирования к  приложению № 4.2. </t>
    </r>
  </si>
  <si>
    <t>Справка:</t>
  </si>
  <si>
    <t xml:space="preserve"> капитальные вложения  за  счёт   арендной платы (средства арендодателя ГОУТП "ТЭКОС")**</t>
  </si>
  <si>
    <t xml:space="preserve"> капитальные вложения  за  счёт  прочей  прибыли</t>
  </si>
  <si>
    <t>Капитальные вложения учтено  в тарифе (без НДС) ( инвест. составл. + амортизация)</t>
  </si>
  <si>
    <t>из них:</t>
  </si>
  <si>
    <t>Затраты на капитальные вложения  учтены  в  составе арендной платы</t>
  </si>
  <si>
    <t>***</t>
  </si>
  <si>
    <t>Сальдо (+ профицит; - дефицит)
(XVI р. - XVII р.)***</t>
  </si>
  <si>
    <t xml:space="preserve"> капитальные вложения, всего  (без НДС)</t>
  </si>
  <si>
    <t xml:space="preserve"> капитальные вложения( учтено в тарифе)</t>
  </si>
  <si>
    <t xml:space="preserve">Прибыль, полученная  за  счёт прочей  деятельности, направлегная  на капитальные  вложения    </t>
  </si>
  <si>
    <t>для ОГК/ТГК, в том числе **</t>
  </si>
  <si>
    <t>Зам. генерального директора по экономике и финансам   ___________________________________________________ А.А. Степанов</t>
  </si>
  <si>
    <t>Собственные средства ( в  т.ч. НДС)</t>
  </si>
  <si>
    <t>в т.ч. инвестиционная составляющая в тарифе ( без НДС)</t>
  </si>
  <si>
    <t>Прочие собственные средства  ( без НДС)</t>
  </si>
  <si>
    <t>1.4.2</t>
  </si>
  <si>
    <t>в т.ч. средства  за счёт арендной платы ( арендодатель ГОУТП "ТЭКОС")</t>
  </si>
  <si>
    <t>"______" ________________2018г</t>
  </si>
  <si>
    <t>План *                                                                           2019г</t>
  </si>
  <si>
    <t>А.С. Стахов</t>
  </si>
  <si>
    <t>Реконструкция головного фидера ПС-40А-ф46 оп.2 ВЛ-РП-1</t>
  </si>
  <si>
    <t>I_Кр_КЛф46a29_111123.1.03</t>
  </si>
  <si>
    <t xml:space="preserve">Реконструкция головного фидера ПС-40А-ф29 оп.2 ВЛ-РП-1 </t>
  </si>
  <si>
    <t>I_ПрЗ_ПС26_111232.04</t>
  </si>
  <si>
    <t>Испытательный комплекс РЕТОМ-25</t>
  </si>
  <si>
    <t>Автомобили УАЗ  (2 ед)</t>
  </si>
  <si>
    <t xml:space="preserve">Грузовой-бортовой автомобиль с КМУ </t>
  </si>
  <si>
    <t>Воздушная линия 0,4 кВ от РУ 0,4 кВ РП-5 до ВРУ 0,4 кВ гаража, п. Никель, цех №7</t>
  </si>
  <si>
    <t>I_ПрН_СтрВЛ_211113.2.01</t>
  </si>
  <si>
    <t>Воздушная линия 6 кВ от ЗРУ-6 кВ ПС-26 до КТП 6/0,4 г.Заполярный, гора Паловара</t>
  </si>
  <si>
    <t>I_ПрН_СтрВЛ_211113.2.02</t>
  </si>
  <si>
    <r>
      <rPr>
        <b/>
        <sz val="10"/>
        <color rgb="FF00B050"/>
        <rFont val="Times New Roman"/>
        <family val="1"/>
        <charset val="204"/>
      </rPr>
      <t>ПС-26 г.Заполярный.</t>
    </r>
    <r>
      <rPr>
        <sz val="10"/>
        <color rgb="FF00B050"/>
        <rFont val="Times New Roman"/>
        <family val="1"/>
        <charset val="204"/>
      </rPr>
      <t xml:space="preserve"> Замена масляных выключателей ВМП-10К на вакуумный ВВ-TEL </t>
    </r>
  </si>
  <si>
    <t>Выпадающие доходы  на технологические присоединения в тарифе</t>
  </si>
  <si>
    <t>Приложение  № 4.2. (1)</t>
  </si>
  <si>
    <t>Приложение  № 4.2. (2)</t>
  </si>
  <si>
    <t>Приложение  № 4.2. (3)</t>
  </si>
  <si>
    <t>Приложение  № 4.2. (4)</t>
  </si>
  <si>
    <t>Приложение  № 4.2. (5)</t>
  </si>
  <si>
    <r>
      <t xml:space="preserve">в т.ч. от технологического присоединения (для электросетевых компаний) </t>
    </r>
    <r>
      <rPr>
        <sz val="10"/>
        <color theme="1"/>
        <rFont val="Times New Roman"/>
        <family val="1"/>
        <charset val="204"/>
      </rPr>
      <t>выпадающие доходы в тарифе</t>
    </r>
  </si>
  <si>
    <t>Прочая прибыль***</t>
  </si>
  <si>
    <t>Утверждено  План *
2018г</t>
  </si>
  <si>
    <t>Утверждено 2018г  Общий объем финансирования</t>
  </si>
  <si>
    <r>
      <rPr>
        <b/>
        <sz val="8"/>
        <color rgb="FFC00000"/>
        <rFont val="Times New Roman"/>
        <family val="1"/>
        <charset val="204"/>
      </rPr>
      <t xml:space="preserve">Корректировка  </t>
    </r>
    <r>
      <rPr>
        <b/>
        <sz val="8"/>
        <rFont val="Times New Roman"/>
        <family val="1"/>
        <charset val="204"/>
      </rPr>
      <t>План *
2018г</t>
    </r>
  </si>
  <si>
    <r>
      <rPr>
        <sz val="9"/>
        <color rgb="FFC00000"/>
        <rFont val="Times New Roman"/>
        <family val="1"/>
        <charset val="204"/>
      </rPr>
      <t>Корректировка 2018 год</t>
    </r>
    <r>
      <rPr>
        <sz val="9"/>
        <rFont val="Times New Roman"/>
        <family val="1"/>
        <charset val="204"/>
      </rPr>
      <t xml:space="preserve">     Общий объем финансирования</t>
    </r>
  </si>
  <si>
    <t>I_Кр_РП1_111231.13</t>
  </si>
  <si>
    <t>Балансировочный стенд  WIEDERKRAFT WDK-706122</t>
  </si>
  <si>
    <t>I_Кр_ОС_17421.02</t>
  </si>
  <si>
    <t xml:space="preserve">Корректировка 2018 год    </t>
  </si>
  <si>
    <t>Утверждено 2018 год</t>
  </si>
  <si>
    <t>Источник финансирования ( млн.руб)</t>
  </si>
  <si>
    <t>Примечание</t>
  </si>
  <si>
    <t xml:space="preserve">перенесено  из утвержденной программы за 2017г ( невыполнено  по причине   расторжения  договора  по инициативе Подрядчика) </t>
  </si>
  <si>
    <r>
      <rPr>
        <b/>
        <sz val="10"/>
        <rFont val="Times New Roman"/>
        <family val="1"/>
        <charset val="204"/>
      </rPr>
      <t>РП-1,</t>
    </r>
    <r>
      <rPr>
        <sz val="10"/>
        <rFont val="Times New Roman"/>
        <family val="1"/>
        <charset val="204"/>
      </rPr>
      <t>электрооборудование РУ 6кВ.Замена в ячейках КСО-ВМП-10 на вакуумные ВВ-TEL-12 шт. Установка ячейки КСО-298  с трансформаторами СН ТМГ-25 кВа-2шт.</t>
    </r>
  </si>
  <si>
    <t xml:space="preserve">Исключено  в связи   заменой  мероприятий </t>
  </si>
  <si>
    <t xml:space="preserve">Автоподъемник на шасси ГАЗ </t>
  </si>
  <si>
    <t>Автоподъемник ГАЗ-33081 Егерь-2 Socage Т-318 (Т-17) с двухрядной кабиной</t>
  </si>
  <si>
    <t xml:space="preserve">Оборудование  имеется  в наличии на складе. </t>
  </si>
  <si>
    <t>Договор № ТП-032/2017 от 27.09.2017г</t>
  </si>
  <si>
    <t>Договор № ТП-013/2017 от 13.07.2017г</t>
  </si>
</sst>
</file>

<file path=xl/styles.xml><?xml version="1.0" encoding="utf-8"?>
<styleSheet xmlns="http://schemas.openxmlformats.org/spreadsheetml/2006/main">
  <numFmts count="1">
    <numFmt numFmtId="164" formatCode="0.000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6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EE6F6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FCD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9" fillId="0" borderId="0"/>
  </cellStyleXfs>
  <cellXfs count="341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wrapText="1"/>
    </xf>
    <xf numFmtId="164" fontId="5" fillId="0" borderId="0" xfId="0" applyNumberFormat="1" applyFont="1" applyAlignment="1">
      <alignment vertical="center"/>
    </xf>
    <xf numFmtId="0" fontId="7" fillId="0" borderId="0" xfId="0" applyFont="1"/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/>
    <xf numFmtId="164" fontId="5" fillId="0" borderId="0" xfId="0" applyNumberFormat="1" applyFont="1"/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wrapText="1"/>
    </xf>
    <xf numFmtId="164" fontId="0" fillId="0" borderId="0" xfId="0" applyNumberFormat="1"/>
    <xf numFmtId="0" fontId="12" fillId="0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left" wrapText="1"/>
    </xf>
    <xf numFmtId="0" fontId="13" fillId="4" borderId="7" xfId="0" applyFont="1" applyFill="1" applyBorder="1" applyAlignment="1">
      <alignment horizontal="center" wrapText="1"/>
    </xf>
    <xf numFmtId="164" fontId="13" fillId="4" borderId="7" xfId="0" applyNumberFormat="1" applyFont="1" applyFill="1" applyBorder="1" applyAlignment="1">
      <alignment horizontal="center" wrapText="1"/>
    </xf>
    <xf numFmtId="0" fontId="14" fillId="0" borderId="0" xfId="0" applyFont="1" applyFill="1"/>
    <xf numFmtId="0" fontId="14" fillId="5" borderId="7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center" vertical="center" wrapText="1"/>
    </xf>
    <xf numFmtId="164" fontId="14" fillId="5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/>
    </xf>
    <xf numFmtId="164" fontId="14" fillId="5" borderId="7" xfId="1" applyNumberFormat="1" applyFont="1" applyFill="1" applyBorder="1" applyAlignment="1" applyProtection="1">
      <alignment horizontal="left" vertical="center" wrapText="1"/>
      <protection locked="0"/>
    </xf>
    <xf numFmtId="0" fontId="14" fillId="5" borderId="7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left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17" fillId="0" borderId="0" xfId="0" applyFont="1"/>
    <xf numFmtId="164" fontId="14" fillId="0" borderId="7" xfId="0" applyNumberFormat="1" applyFont="1" applyFill="1" applyBorder="1" applyAlignment="1">
      <alignment horizontal="center" vertical="center" wrapText="1"/>
    </xf>
    <xf numFmtId="164" fontId="5" fillId="5" borderId="7" xfId="1" applyNumberFormat="1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vertical="center" wrapText="1"/>
    </xf>
    <xf numFmtId="164" fontId="14" fillId="5" borderId="7" xfId="0" applyNumberFormat="1" applyFont="1" applyFill="1" applyBorder="1" applyAlignment="1">
      <alignment vertical="center" wrapText="1"/>
    </xf>
    <xf numFmtId="164" fontId="14" fillId="5" borderId="7" xfId="1" applyNumberFormat="1" applyFont="1" applyFill="1" applyBorder="1" applyAlignment="1">
      <alignment horizontal="left" vertical="center" wrapText="1"/>
    </xf>
    <xf numFmtId="164" fontId="14" fillId="5" borderId="7" xfId="0" applyNumberFormat="1" applyFont="1" applyFill="1" applyBorder="1" applyAlignment="1">
      <alignment horizontal="left" vertical="center" wrapText="1"/>
    </xf>
    <xf numFmtId="164" fontId="14" fillId="5" borderId="7" xfId="1" applyNumberFormat="1" applyFont="1" applyFill="1" applyBorder="1" applyAlignment="1">
      <alignment horizontal="center" vertical="center" wrapText="1"/>
    </xf>
    <xf numFmtId="0" fontId="20" fillId="0" borderId="13" xfId="2" applyFont="1" applyBorder="1"/>
    <xf numFmtId="0" fontId="20" fillId="0" borderId="0" xfId="2" applyFont="1"/>
    <xf numFmtId="0" fontId="21" fillId="0" borderId="13" xfId="0" applyFont="1" applyBorder="1" applyAlignment="1">
      <alignment wrapText="1"/>
    </xf>
    <xf numFmtId="0" fontId="20" fillId="0" borderId="0" xfId="2" applyFont="1" applyBorder="1" applyAlignment="1"/>
    <xf numFmtId="0" fontId="20" fillId="0" borderId="0" xfId="2" applyFont="1" applyAlignment="1"/>
    <xf numFmtId="0" fontId="21" fillId="0" borderId="0" xfId="0" applyFont="1" applyBorder="1" applyAlignment="1">
      <alignment wrapText="1"/>
    </xf>
    <xf numFmtId="0" fontId="15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13" fillId="5" borderId="7" xfId="0" applyFont="1" applyFill="1" applyBorder="1" applyAlignment="1">
      <alignment horizontal="left" wrapText="1"/>
    </xf>
    <xf numFmtId="164" fontId="13" fillId="5" borderId="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23" fillId="5" borderId="7" xfId="1" applyNumberFormat="1" applyFont="1" applyFill="1" applyBorder="1" applyAlignment="1" applyProtection="1">
      <alignment horizontal="left" vertical="center" wrapText="1"/>
      <protection locked="0"/>
    </xf>
    <xf numFmtId="164" fontId="23" fillId="5" borderId="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14" fillId="0" borderId="0" xfId="0" applyNumberFormat="1" applyFont="1" applyFill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3" fillId="5" borderId="4" xfId="0" applyFont="1" applyFill="1" applyBorder="1" applyAlignment="1">
      <alignment horizontal="center" wrapText="1"/>
    </xf>
    <xf numFmtId="164" fontId="13" fillId="5" borderId="5" xfId="0" applyNumberFormat="1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vertical="center" wrapText="1"/>
    </xf>
    <xf numFmtId="164" fontId="14" fillId="5" borderId="5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64" fontId="23" fillId="5" borderId="20" xfId="1" applyNumberFormat="1" applyFont="1" applyFill="1" applyBorder="1" applyAlignment="1" applyProtection="1">
      <alignment horizontal="left" vertical="center" wrapText="1"/>
      <protection locked="0"/>
    </xf>
    <xf numFmtId="164" fontId="23" fillId="5" borderId="20" xfId="0" applyNumberFormat="1" applyFont="1" applyFill="1" applyBorder="1" applyAlignment="1">
      <alignment horizontal="center" vertical="center" wrapText="1"/>
    </xf>
    <xf numFmtId="164" fontId="13" fillId="5" borderId="4" xfId="0" applyNumberFormat="1" applyFont="1" applyFill="1" applyBorder="1" applyAlignment="1">
      <alignment horizontal="center" wrapText="1"/>
    </xf>
    <xf numFmtId="164" fontId="14" fillId="5" borderId="4" xfId="0" applyNumberFormat="1" applyFont="1" applyFill="1" applyBorder="1" applyAlignment="1">
      <alignment horizontal="center" vertical="center" wrapText="1"/>
    </xf>
    <xf numFmtId="164" fontId="23" fillId="5" borderId="4" xfId="0" applyNumberFormat="1" applyFont="1" applyFill="1" applyBorder="1" applyAlignment="1">
      <alignment horizontal="center" vertical="center" wrapText="1"/>
    </xf>
    <xf numFmtId="164" fontId="23" fillId="5" borderId="19" xfId="0" applyNumberFormat="1" applyFont="1" applyFill="1" applyBorder="1" applyAlignment="1">
      <alignment horizontal="center" vertical="center" wrapText="1"/>
    </xf>
    <xf numFmtId="164" fontId="14" fillId="5" borderId="9" xfId="0" applyNumberFormat="1" applyFont="1" applyFill="1" applyBorder="1" applyAlignment="1">
      <alignment horizontal="center" vertical="center" wrapText="1"/>
    </xf>
    <xf numFmtId="164" fontId="23" fillId="5" borderId="36" xfId="0" applyNumberFormat="1" applyFont="1" applyFill="1" applyBorder="1" applyAlignment="1">
      <alignment horizontal="center" vertical="center" wrapText="1"/>
    </xf>
    <xf numFmtId="164" fontId="23" fillId="5" borderId="21" xfId="0" applyNumberFormat="1" applyFont="1" applyFill="1" applyBorder="1" applyAlignment="1">
      <alignment horizontal="center" vertical="center" wrapText="1"/>
    </xf>
    <xf numFmtId="164" fontId="23" fillId="5" borderId="9" xfId="0" applyNumberFormat="1" applyFont="1" applyFill="1" applyBorder="1" applyAlignment="1">
      <alignment horizontal="center" vertical="center" wrapText="1"/>
    </xf>
    <xf numFmtId="164" fontId="23" fillId="5" borderId="17" xfId="0" applyNumberFormat="1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1" fillId="6" borderId="7" xfId="0" applyFont="1" applyFill="1" applyBorder="1" applyAlignment="1">
      <alignment horizontal="center" vertical="center" textRotation="90" wrapText="1"/>
    </xf>
    <xf numFmtId="0" fontId="12" fillId="6" borderId="7" xfId="0" applyFont="1" applyFill="1" applyBorder="1" applyAlignment="1">
      <alignment horizontal="center" vertical="center" textRotation="90" wrapText="1"/>
    </xf>
    <xf numFmtId="0" fontId="11" fillId="6" borderId="9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164" fontId="13" fillId="6" borderId="4" xfId="0" applyNumberFormat="1" applyFont="1" applyFill="1" applyBorder="1" applyAlignment="1">
      <alignment horizontal="center" wrapText="1"/>
    </xf>
    <xf numFmtId="164" fontId="13" fillId="6" borderId="7" xfId="0" applyNumberFormat="1" applyFont="1" applyFill="1" applyBorder="1" applyAlignment="1">
      <alignment horizontal="center" wrapText="1"/>
    </xf>
    <xf numFmtId="164" fontId="13" fillId="6" borderId="9" xfId="0" applyNumberFormat="1" applyFont="1" applyFill="1" applyBorder="1" applyAlignment="1">
      <alignment horizontal="center" wrapText="1"/>
    </xf>
    <xf numFmtId="164" fontId="14" fillId="6" borderId="4" xfId="0" applyNumberFormat="1" applyFont="1" applyFill="1" applyBorder="1" applyAlignment="1">
      <alignment horizontal="center" vertical="center" wrapText="1"/>
    </xf>
    <xf numFmtId="164" fontId="14" fillId="6" borderId="7" xfId="0" applyNumberFormat="1" applyFont="1" applyFill="1" applyBorder="1" applyAlignment="1">
      <alignment horizontal="center" vertical="center" wrapText="1"/>
    </xf>
    <xf numFmtId="164" fontId="14" fillId="6" borderId="9" xfId="0" applyNumberFormat="1" applyFont="1" applyFill="1" applyBorder="1" applyAlignment="1">
      <alignment horizontal="center" vertical="center" wrapText="1"/>
    </xf>
    <xf numFmtId="164" fontId="23" fillId="6" borderId="37" xfId="0" applyNumberFormat="1" applyFont="1" applyFill="1" applyBorder="1" applyAlignment="1">
      <alignment horizontal="center" vertical="center" wrapText="1"/>
    </xf>
    <xf numFmtId="164" fontId="23" fillId="6" borderId="39" xfId="0" applyNumberFormat="1" applyFont="1" applyFill="1" applyBorder="1" applyAlignment="1">
      <alignment horizontal="center" vertical="center" wrapText="1"/>
    </xf>
    <xf numFmtId="164" fontId="23" fillId="6" borderId="4" xfId="0" applyNumberFormat="1" applyFont="1" applyFill="1" applyBorder="1" applyAlignment="1">
      <alignment horizontal="center" vertical="center" wrapText="1"/>
    </xf>
    <xf numFmtId="164" fontId="23" fillId="6" borderId="7" xfId="0" applyNumberFormat="1" applyFont="1" applyFill="1" applyBorder="1" applyAlignment="1">
      <alignment horizontal="center" vertical="center" wrapText="1"/>
    </xf>
    <xf numFmtId="164" fontId="23" fillId="6" borderId="9" xfId="0" applyNumberFormat="1" applyFont="1" applyFill="1" applyBorder="1" applyAlignment="1">
      <alignment horizontal="center" vertical="center" wrapText="1"/>
    </xf>
    <xf numFmtId="164" fontId="5" fillId="6" borderId="7" xfId="0" applyNumberFormat="1" applyFont="1" applyFill="1" applyBorder="1" applyAlignment="1">
      <alignment horizontal="center" vertical="center" wrapText="1"/>
    </xf>
    <xf numFmtId="164" fontId="5" fillId="6" borderId="9" xfId="0" applyNumberFormat="1" applyFont="1" applyFill="1" applyBorder="1" applyAlignment="1">
      <alignment horizontal="center" vertical="center" wrapText="1"/>
    </xf>
    <xf numFmtId="164" fontId="23" fillId="6" borderId="19" xfId="0" applyNumberFormat="1" applyFont="1" applyFill="1" applyBorder="1" applyAlignment="1">
      <alignment horizontal="center" vertical="center" wrapText="1"/>
    </xf>
    <xf numFmtId="164" fontId="23" fillId="6" borderId="20" xfId="0" applyNumberFormat="1" applyFont="1" applyFill="1" applyBorder="1" applyAlignment="1">
      <alignment horizontal="center" vertical="center" wrapText="1"/>
    </xf>
    <xf numFmtId="164" fontId="23" fillId="6" borderId="17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wrapText="1"/>
    </xf>
    <xf numFmtId="0" fontId="14" fillId="5" borderId="5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5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/>
    </xf>
    <xf numFmtId="164" fontId="5" fillId="6" borderId="5" xfId="0" applyNumberFormat="1" applyFont="1" applyFill="1" applyBorder="1"/>
    <xf numFmtId="0" fontId="14" fillId="6" borderId="5" xfId="0" applyFont="1" applyFill="1" applyBorder="1"/>
    <xf numFmtId="0" fontId="5" fillId="6" borderId="5" xfId="0" applyFont="1" applyFill="1" applyBorder="1"/>
    <xf numFmtId="0" fontId="5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vertical="center" wrapText="1"/>
    </xf>
    <xf numFmtId="0" fontId="17" fillId="6" borderId="5" xfId="0" applyFont="1" applyFill="1" applyBorder="1"/>
    <xf numFmtId="0" fontId="0" fillId="6" borderId="5" xfId="0" applyFill="1" applyBorder="1"/>
    <xf numFmtId="164" fontId="23" fillId="5" borderId="37" xfId="0" applyNumberFormat="1" applyFont="1" applyFill="1" applyBorder="1" applyAlignment="1">
      <alignment horizontal="center" vertical="center" wrapText="1"/>
    </xf>
    <xf numFmtId="164" fontId="23" fillId="5" borderId="39" xfId="0" applyNumberFormat="1" applyFont="1" applyFill="1" applyBorder="1" applyAlignment="1">
      <alignment horizontal="center" vertical="center" wrapText="1"/>
    </xf>
    <xf numFmtId="164" fontId="14" fillId="5" borderId="50" xfId="0" applyNumberFormat="1" applyFont="1" applyFill="1" applyBorder="1" applyAlignment="1">
      <alignment horizontal="center" vertical="center" wrapText="1"/>
    </xf>
    <xf numFmtId="164" fontId="14" fillId="5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164" fontId="7" fillId="0" borderId="35" xfId="0" applyNumberFormat="1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164" fontId="7" fillId="0" borderId="17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25" fillId="2" borderId="1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8" fillId="6" borderId="8" xfId="0" applyFont="1" applyFill="1" applyBorder="1" applyAlignment="1">
      <alignment horizontal="center"/>
    </xf>
    <xf numFmtId="0" fontId="28" fillId="6" borderId="18" xfId="0" applyFont="1" applyFill="1" applyBorder="1" applyAlignment="1">
      <alignment horizontal="center"/>
    </xf>
    <xf numFmtId="0" fontId="28" fillId="6" borderId="16" xfId="0" applyFont="1" applyFill="1" applyBorder="1" applyAlignment="1">
      <alignment horizontal="center"/>
    </xf>
    <xf numFmtId="0" fontId="23" fillId="5" borderId="45" xfId="0" applyFont="1" applyFill="1" applyBorder="1" applyAlignment="1">
      <alignment horizontal="center" vertical="center" wrapText="1"/>
    </xf>
    <xf numFmtId="0" fontId="23" fillId="5" borderId="4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164" fontId="23" fillId="6" borderId="48" xfId="0" applyNumberFormat="1" applyFont="1" applyFill="1" applyBorder="1" applyAlignment="1">
      <alignment horizontal="center" vertical="center" wrapText="1"/>
    </xf>
    <xf numFmtId="164" fontId="23" fillId="6" borderId="49" xfId="0" applyNumberFormat="1" applyFont="1" applyFill="1" applyBorder="1" applyAlignment="1">
      <alignment horizontal="center" vertical="center" wrapText="1"/>
    </xf>
    <xf numFmtId="164" fontId="23" fillId="6" borderId="37" xfId="0" applyNumberFormat="1" applyFont="1" applyFill="1" applyBorder="1" applyAlignment="1">
      <alignment horizontal="center" vertical="center" wrapText="1"/>
    </xf>
    <xf numFmtId="164" fontId="23" fillId="6" borderId="39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21" fillId="0" borderId="0" xfId="0" applyFont="1" applyBorder="1" applyAlignment="1">
      <alignment horizontal="right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164" fontId="23" fillId="5" borderId="48" xfId="0" applyNumberFormat="1" applyFont="1" applyFill="1" applyBorder="1" applyAlignment="1">
      <alignment horizontal="center" vertical="center" wrapText="1"/>
    </xf>
    <xf numFmtId="164" fontId="23" fillId="5" borderId="49" xfId="0" applyNumberFormat="1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0" fillId="6" borderId="53" xfId="0" applyFill="1" applyBorder="1" applyAlignment="1">
      <alignment horizontal="center" vertical="center" textRotation="90" wrapText="1"/>
    </xf>
    <xf numFmtId="0" fontId="0" fillId="6" borderId="54" xfId="0" applyFill="1" applyBorder="1" applyAlignment="1">
      <alignment horizontal="center" vertical="center" textRotation="90" wrapText="1"/>
    </xf>
    <xf numFmtId="0" fontId="0" fillId="6" borderId="47" xfId="0" applyFill="1" applyBorder="1" applyAlignment="1">
      <alignment horizontal="center" vertical="center" textRotation="90" wrapText="1"/>
    </xf>
    <xf numFmtId="164" fontId="23" fillId="5" borderId="37" xfId="0" applyNumberFormat="1" applyFont="1" applyFill="1" applyBorder="1" applyAlignment="1">
      <alignment horizontal="center" vertical="center" wrapText="1"/>
    </xf>
    <xf numFmtId="164" fontId="23" fillId="5" borderId="39" xfId="0" applyNumberFormat="1" applyFont="1" applyFill="1" applyBorder="1" applyAlignment="1">
      <alignment horizontal="center" vertical="center" wrapText="1"/>
    </xf>
    <xf numFmtId="164" fontId="23" fillId="6" borderId="36" xfId="0" applyNumberFormat="1" applyFont="1" applyFill="1" applyBorder="1" applyAlignment="1">
      <alignment horizontal="center" vertical="center" wrapText="1"/>
    </xf>
    <xf numFmtId="164" fontId="23" fillId="6" borderId="21" xfId="0" applyNumberFormat="1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textRotation="90" wrapText="1"/>
    </xf>
    <xf numFmtId="0" fontId="11" fillId="0" borderId="51" xfId="0" applyFont="1" applyFill="1" applyBorder="1" applyAlignment="1">
      <alignment horizontal="center" vertical="center" textRotation="90" wrapText="1"/>
    </xf>
    <xf numFmtId="0" fontId="11" fillId="0" borderId="49" xfId="0" applyFont="1" applyFill="1" applyBorder="1" applyAlignment="1">
      <alignment horizontal="center" vertical="center" textRotation="90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164" fontId="14" fillId="5" borderId="37" xfId="0" applyNumberFormat="1" applyFont="1" applyFill="1" applyBorder="1" applyAlignment="1">
      <alignment horizontal="center" vertical="center" wrapText="1"/>
    </xf>
    <xf numFmtId="164" fontId="14" fillId="5" borderId="39" xfId="0" applyNumberFormat="1" applyFont="1" applyFill="1" applyBorder="1" applyAlignment="1">
      <alignment horizontal="center" vertical="center" wrapText="1"/>
    </xf>
  </cellXfs>
  <cellStyles count="3">
    <cellStyle name="TableStyleLight1" xfId="1"/>
    <cellStyle name="Обычный" xfId="0" builtinId="0"/>
    <cellStyle name="Обычный 7" xfId="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0FFCD"/>
      <color rgb="FFFEE6F6"/>
      <color rgb="FFFFFFCD"/>
      <color rgb="FFFFFF99"/>
      <color rgb="FFF9F9F9"/>
      <color rgb="FFFCDB88"/>
      <color rgb="FFD9FFF2"/>
      <color rgb="FFFDEFFF"/>
      <color rgb="FFF9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Y99"/>
  <sheetViews>
    <sheetView tabSelected="1" view="pageBreakPreview" topLeftCell="A24" zoomScaleNormal="136" zoomScaleSheetLayoutView="100" workbookViewId="0">
      <selection activeCell="CN51" sqref="CN51:DA51"/>
    </sheetView>
  </sheetViews>
  <sheetFormatPr defaultColWidth="0.85546875" defaultRowHeight="12.75"/>
  <cols>
    <col min="1" max="62" width="0.85546875" style="2"/>
    <col min="63" max="63" width="13" style="2" customWidth="1"/>
    <col min="64" max="136" width="0.85546875" style="2"/>
    <col min="137" max="137" width="6.85546875" style="2" bestFit="1" customWidth="1"/>
    <col min="138" max="16384" width="0.85546875" style="2"/>
  </cols>
  <sheetData>
    <row r="1" spans="1:155" ht="33.75" customHeight="1">
      <c r="DE1" s="129" t="s">
        <v>65</v>
      </c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</row>
    <row r="3" spans="1:155" s="3" customFormat="1" ht="28.5" customHeight="1">
      <c r="A3" s="130" t="s">
        <v>66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</row>
    <row r="5" spans="1:155" ht="24.7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CO5" s="131" t="s">
        <v>63</v>
      </c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</row>
    <row r="6" spans="1:155" ht="15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CO6" s="127" t="s">
        <v>145</v>
      </c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</row>
    <row r="7" spans="1:155" s="6" customFormat="1" ht="20.2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127" t="s">
        <v>156</v>
      </c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</row>
    <row r="8" spans="1:155" ht="15.7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CO8" s="127" t="s">
        <v>347</v>
      </c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155" ht="15.7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7"/>
      <c r="CO9" s="128" t="s">
        <v>21</v>
      </c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</row>
    <row r="11" spans="1:155" ht="13.5" thickBot="1">
      <c r="BK11" s="20"/>
    </row>
    <row r="12" spans="1:155" ht="15" customHeight="1">
      <c r="A12" s="139" t="s">
        <v>0</v>
      </c>
      <c r="B12" s="140"/>
      <c r="C12" s="140"/>
      <c r="D12" s="140"/>
      <c r="E12" s="140"/>
      <c r="F12" s="140"/>
      <c r="G12" s="141"/>
      <c r="H12" s="145" t="s">
        <v>67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1"/>
      <c r="BL12" s="132" t="s">
        <v>146</v>
      </c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47"/>
      <c r="BZ12" s="132" t="s">
        <v>147</v>
      </c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47"/>
      <c r="CN12" s="132" t="s">
        <v>148</v>
      </c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47"/>
      <c r="DB12" s="132" t="s">
        <v>149</v>
      </c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47"/>
      <c r="DP12" s="132" t="s">
        <v>150</v>
      </c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4"/>
    </row>
    <row r="13" spans="1:155" ht="15.75" customHeight="1">
      <c r="A13" s="142"/>
      <c r="B13" s="143"/>
      <c r="C13" s="143"/>
      <c r="D13" s="143"/>
      <c r="E13" s="143"/>
      <c r="F13" s="143"/>
      <c r="G13" s="144"/>
      <c r="H13" s="146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4"/>
      <c r="BL13" s="135" t="s">
        <v>68</v>
      </c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7"/>
      <c r="BZ13" s="135" t="s">
        <v>68</v>
      </c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7"/>
      <c r="CN13" s="135" t="s">
        <v>68</v>
      </c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7"/>
      <c r="DB13" s="135" t="s">
        <v>68</v>
      </c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7"/>
      <c r="DP13" s="135" t="s">
        <v>68</v>
      </c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8"/>
    </row>
    <row r="14" spans="1:155" ht="12" customHeight="1" thickBot="1">
      <c r="A14" s="161">
        <v>1</v>
      </c>
      <c r="B14" s="149"/>
      <c r="C14" s="149"/>
      <c r="D14" s="149"/>
      <c r="E14" s="149"/>
      <c r="F14" s="149"/>
      <c r="G14" s="162"/>
      <c r="H14" s="148">
        <v>2</v>
      </c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62"/>
      <c r="BL14" s="148">
        <v>3</v>
      </c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62"/>
      <c r="BZ14" s="148">
        <v>4</v>
      </c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62"/>
      <c r="CN14" s="148">
        <v>5</v>
      </c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62"/>
      <c r="DB14" s="148">
        <v>6</v>
      </c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62"/>
      <c r="DP14" s="148">
        <v>7</v>
      </c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50"/>
    </row>
    <row r="15" spans="1:155" s="11" customFormat="1" ht="15" customHeight="1">
      <c r="A15" s="151" t="s">
        <v>69</v>
      </c>
      <c r="B15" s="152"/>
      <c r="C15" s="152"/>
      <c r="D15" s="152"/>
      <c r="E15" s="152"/>
      <c r="F15" s="152"/>
      <c r="G15" s="153"/>
      <c r="H15" s="154" t="s">
        <v>70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6"/>
      <c r="BL15" s="157">
        <f>BL17+BL18</f>
        <v>206.66649999999998</v>
      </c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9"/>
      <c r="BZ15" s="157">
        <f>BZ17+BZ18</f>
        <v>210.10900000000001</v>
      </c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9"/>
      <c r="CN15" s="157">
        <f>CN17+CN18</f>
        <v>228.09699999999998</v>
      </c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9"/>
      <c r="DB15" s="157">
        <f>DB17+DB18</f>
        <v>242.709</v>
      </c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9"/>
      <c r="DP15" s="157">
        <f>DP17+DP18</f>
        <v>253.26900000000001</v>
      </c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60"/>
    </row>
    <row r="16" spans="1:155">
      <c r="A16" s="166"/>
      <c r="B16" s="167"/>
      <c r="C16" s="167"/>
      <c r="D16" s="167"/>
      <c r="E16" s="167"/>
      <c r="F16" s="167"/>
      <c r="G16" s="168"/>
      <c r="H16" s="176" t="s">
        <v>71</v>
      </c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8"/>
      <c r="BL16" s="163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79"/>
      <c r="BZ16" s="163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79"/>
      <c r="CN16" s="163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79"/>
      <c r="DB16" s="163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79"/>
      <c r="DP16" s="163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5"/>
    </row>
    <row r="17" spans="1:137">
      <c r="A17" s="166" t="s">
        <v>2</v>
      </c>
      <c r="B17" s="167"/>
      <c r="C17" s="167"/>
      <c r="D17" s="167"/>
      <c r="E17" s="167"/>
      <c r="F17" s="167"/>
      <c r="G17" s="168"/>
      <c r="H17" s="169" t="s">
        <v>151</v>
      </c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1"/>
      <c r="BL17" s="172">
        <f>167.763+23.362</f>
        <v>191.125</v>
      </c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4"/>
      <c r="BZ17" s="172">
        <v>207.73500000000001</v>
      </c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4"/>
      <c r="CN17" s="172">
        <v>218.05699999999999</v>
      </c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4"/>
      <c r="DB17" s="172">
        <v>230.43899999999999</v>
      </c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4"/>
      <c r="DP17" s="172">
        <v>243.517</v>
      </c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5"/>
    </row>
    <row r="18" spans="1:137" ht="13.5" thickBot="1">
      <c r="A18" s="183" t="s">
        <v>3</v>
      </c>
      <c r="B18" s="184"/>
      <c r="C18" s="184"/>
      <c r="D18" s="184"/>
      <c r="E18" s="184"/>
      <c r="F18" s="184"/>
      <c r="G18" s="185"/>
      <c r="H18" s="186" t="s">
        <v>72</v>
      </c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8"/>
      <c r="BL18" s="180">
        <f>10.85+1.583+((10.851+1.583)/80*100)*20/100</f>
        <v>15.541499999999999</v>
      </c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9"/>
      <c r="BZ18" s="180">
        <v>2.3740000000000001</v>
      </c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9"/>
      <c r="CN18" s="180">
        <v>10.039999999999999</v>
      </c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9"/>
      <c r="DB18" s="180">
        <v>12.27</v>
      </c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9"/>
      <c r="DP18" s="180">
        <v>9.7520000000000007</v>
      </c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2"/>
    </row>
    <row r="19" spans="1:137">
      <c r="A19" s="151" t="s">
        <v>73</v>
      </c>
      <c r="B19" s="152"/>
      <c r="C19" s="152"/>
      <c r="D19" s="152"/>
      <c r="E19" s="152"/>
      <c r="F19" s="152"/>
      <c r="G19" s="153"/>
      <c r="H19" s="154" t="s">
        <v>320</v>
      </c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6"/>
      <c r="BL19" s="157">
        <f>BL20+BL25+BL26+BL27+BL28</f>
        <v>178.56700000000001</v>
      </c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9"/>
      <c r="BZ19" s="157">
        <f>BZ20+BZ25+BZ26+BZ27+BZ28</f>
        <v>186.52400000000003</v>
      </c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9"/>
      <c r="CN19" s="157">
        <f>CN20+CN25+CN26+CN27+CN28</f>
        <v>195.944108</v>
      </c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9"/>
      <c r="DB19" s="157">
        <f>DB20+DB25+DB26+DB27+DB28</f>
        <v>207.397666372</v>
      </c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9"/>
      <c r="DP19" s="157">
        <f>DP20+DP25+DP26+DP27+DP28</f>
        <v>219.52698468794796</v>
      </c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60"/>
    </row>
    <row r="20" spans="1:137">
      <c r="A20" s="196" t="s">
        <v>1</v>
      </c>
      <c r="B20" s="197"/>
      <c r="C20" s="197"/>
      <c r="D20" s="197"/>
      <c r="E20" s="197"/>
      <c r="F20" s="197"/>
      <c r="G20" s="198"/>
      <c r="H20" s="199" t="s">
        <v>74</v>
      </c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1"/>
      <c r="BL20" s="190">
        <f>BL22+BL23+BL24</f>
        <v>26.494999999999997</v>
      </c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202"/>
      <c r="BZ20" s="190">
        <f>BZ22+BZ23+BZ24</f>
        <v>30.073999999999998</v>
      </c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202"/>
      <c r="CN20" s="190">
        <f>CN22+CN23+CN24</f>
        <v>31.607773999999996</v>
      </c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202"/>
      <c r="DB20" s="190">
        <f>DB22+DB23+DB24</f>
        <v>33.472632665999996</v>
      </c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202"/>
      <c r="DP20" s="190">
        <f>DP22+DP23+DP24</f>
        <v>35.447517993293992</v>
      </c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2"/>
    </row>
    <row r="21" spans="1:137">
      <c r="A21" s="166"/>
      <c r="B21" s="167"/>
      <c r="C21" s="167"/>
      <c r="D21" s="167"/>
      <c r="E21" s="167"/>
      <c r="F21" s="167"/>
      <c r="G21" s="168"/>
      <c r="H21" s="193" t="s">
        <v>71</v>
      </c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5"/>
      <c r="BL21" s="163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79"/>
      <c r="BZ21" s="163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79"/>
      <c r="CN21" s="163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79"/>
      <c r="DB21" s="163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79"/>
      <c r="DP21" s="163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5"/>
    </row>
    <row r="22" spans="1:137">
      <c r="A22" s="166" t="s">
        <v>2</v>
      </c>
      <c r="B22" s="167"/>
      <c r="C22" s="167"/>
      <c r="D22" s="167"/>
      <c r="E22" s="167"/>
      <c r="F22" s="167"/>
      <c r="G22" s="168"/>
      <c r="H22" s="193" t="s">
        <v>75</v>
      </c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5"/>
      <c r="BL22" s="172">
        <v>1.7090000000000001</v>
      </c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4"/>
      <c r="BZ22" s="172">
        <v>2.2010000000000001</v>
      </c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4"/>
      <c r="CN22" s="172">
        <f t="shared" ref="CN22:CN27" si="0">BZ22*1.051</f>
        <v>2.3132509999999997</v>
      </c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4"/>
      <c r="DB22" s="172">
        <f t="shared" ref="DB22:DB27" si="1">CN22*1.059</f>
        <v>2.4497328089999995</v>
      </c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4"/>
      <c r="DP22" s="172">
        <f t="shared" ref="DP22:DP27" si="2">DB22*1.059</f>
        <v>2.5942670447309992</v>
      </c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5"/>
    </row>
    <row r="23" spans="1:137">
      <c r="A23" s="166" t="s">
        <v>3</v>
      </c>
      <c r="B23" s="167"/>
      <c r="C23" s="167"/>
      <c r="D23" s="167"/>
      <c r="E23" s="167"/>
      <c r="F23" s="167"/>
      <c r="G23" s="168"/>
      <c r="H23" s="193" t="s">
        <v>76</v>
      </c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5"/>
      <c r="BL23" s="172">
        <v>1.4239999999999999</v>
      </c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4"/>
      <c r="BZ23" s="172">
        <v>2.5750000000000002</v>
      </c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4"/>
      <c r="CN23" s="172">
        <f t="shared" si="0"/>
        <v>2.7063250000000001</v>
      </c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4"/>
      <c r="DB23" s="172">
        <f t="shared" si="1"/>
        <v>2.8659981750000001</v>
      </c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4"/>
      <c r="DP23" s="172">
        <f t="shared" si="2"/>
        <v>3.0350920673249999</v>
      </c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5"/>
    </row>
    <row r="24" spans="1:137">
      <c r="A24" s="166" t="s">
        <v>4</v>
      </c>
      <c r="B24" s="167"/>
      <c r="C24" s="167"/>
      <c r="D24" s="167"/>
      <c r="E24" s="167"/>
      <c r="F24" s="167"/>
      <c r="G24" s="168"/>
      <c r="H24" s="193" t="s">
        <v>77</v>
      </c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5"/>
      <c r="BL24" s="172">
        <v>23.361999999999998</v>
      </c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4"/>
      <c r="BZ24" s="172">
        <v>25.297999999999998</v>
      </c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4"/>
      <c r="CN24" s="172">
        <f t="shared" si="0"/>
        <v>26.588197999999995</v>
      </c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4"/>
      <c r="DB24" s="172">
        <f t="shared" si="1"/>
        <v>28.156901681999994</v>
      </c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4"/>
      <c r="DP24" s="172">
        <f t="shared" si="2"/>
        <v>29.818158881237991</v>
      </c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5"/>
    </row>
    <row r="25" spans="1:137">
      <c r="A25" s="196" t="s">
        <v>16</v>
      </c>
      <c r="B25" s="197"/>
      <c r="C25" s="197"/>
      <c r="D25" s="197"/>
      <c r="E25" s="197"/>
      <c r="F25" s="197"/>
      <c r="G25" s="198"/>
      <c r="H25" s="199" t="s">
        <v>78</v>
      </c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1"/>
      <c r="BL25" s="172">
        <f>80.431+23.938</f>
        <v>104.369</v>
      </c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4"/>
      <c r="BZ25" s="172">
        <v>109.224</v>
      </c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4"/>
      <c r="CN25" s="172">
        <f t="shared" si="0"/>
        <v>114.79442399999999</v>
      </c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4"/>
      <c r="DB25" s="172">
        <f t="shared" si="1"/>
        <v>121.56729501599999</v>
      </c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4"/>
      <c r="DP25" s="172">
        <f t="shared" si="2"/>
        <v>128.73976542194399</v>
      </c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5"/>
    </row>
    <row r="26" spans="1:137">
      <c r="A26" s="196" t="s">
        <v>17</v>
      </c>
      <c r="B26" s="197"/>
      <c r="C26" s="197"/>
      <c r="D26" s="197"/>
      <c r="E26" s="197"/>
      <c r="F26" s="197"/>
      <c r="G26" s="198"/>
      <c r="H26" s="199" t="s">
        <v>79</v>
      </c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1"/>
      <c r="BL26" s="172">
        <v>1.82</v>
      </c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4"/>
      <c r="BZ26" s="172">
        <v>1.8160000000000001</v>
      </c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4"/>
      <c r="CN26" s="172">
        <v>1.8160000000000001</v>
      </c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4"/>
      <c r="DB26" s="172">
        <v>1.8160000000000001</v>
      </c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4"/>
      <c r="DP26" s="172">
        <v>1.8160000000000001</v>
      </c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5"/>
      <c r="EG26" s="20"/>
    </row>
    <row r="27" spans="1:137">
      <c r="A27" s="196" t="s">
        <v>18</v>
      </c>
      <c r="B27" s="197"/>
      <c r="C27" s="197"/>
      <c r="D27" s="197"/>
      <c r="E27" s="197"/>
      <c r="F27" s="197"/>
      <c r="G27" s="198"/>
      <c r="H27" s="199" t="s">
        <v>80</v>
      </c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1"/>
      <c r="BL27" s="172">
        <v>0.14799999999999999</v>
      </c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4"/>
      <c r="BZ27" s="172">
        <v>0.33600000000000002</v>
      </c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4"/>
      <c r="CN27" s="172">
        <f t="shared" si="0"/>
        <v>0.35313600000000001</v>
      </c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4"/>
      <c r="DB27" s="172">
        <f t="shared" si="1"/>
        <v>0.37397102399999999</v>
      </c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4"/>
      <c r="DP27" s="172">
        <f t="shared" si="2"/>
        <v>0.39603531441599998</v>
      </c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5"/>
    </row>
    <row r="28" spans="1:137">
      <c r="A28" s="196" t="s">
        <v>81</v>
      </c>
      <c r="B28" s="197"/>
      <c r="C28" s="197"/>
      <c r="D28" s="197"/>
      <c r="E28" s="197"/>
      <c r="F28" s="197"/>
      <c r="G28" s="198"/>
      <c r="H28" s="199" t="s">
        <v>82</v>
      </c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1"/>
      <c r="BL28" s="172">
        <f>BL30+BL31+BL32</f>
        <v>45.734999999999999</v>
      </c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4"/>
      <c r="BZ28" s="172">
        <f>BZ30+BZ31+BZ32</f>
        <v>45.074000000000005</v>
      </c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4"/>
      <c r="CN28" s="172">
        <f>CN30+CN31+CN32</f>
        <v>47.372773999999993</v>
      </c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4"/>
      <c r="DB28" s="172">
        <f>DB30+DB31+DB32</f>
        <v>50.167767665999996</v>
      </c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4"/>
      <c r="DP28" s="172">
        <f>DP30+DP31+DP32</f>
        <v>53.127665958293989</v>
      </c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5"/>
    </row>
    <row r="29" spans="1:137">
      <c r="A29" s="166"/>
      <c r="B29" s="167"/>
      <c r="C29" s="167"/>
      <c r="D29" s="167"/>
      <c r="E29" s="167"/>
      <c r="F29" s="167"/>
      <c r="G29" s="168"/>
      <c r="H29" s="193" t="s">
        <v>71</v>
      </c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5"/>
      <c r="BL29" s="172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4"/>
      <c r="BZ29" s="172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4"/>
      <c r="CN29" s="172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4"/>
      <c r="DB29" s="172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4"/>
      <c r="DP29" s="172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5"/>
    </row>
    <row r="30" spans="1:137">
      <c r="A30" s="166" t="s">
        <v>83</v>
      </c>
      <c r="B30" s="167"/>
      <c r="C30" s="167"/>
      <c r="D30" s="167"/>
      <c r="E30" s="167"/>
      <c r="F30" s="167"/>
      <c r="G30" s="168"/>
      <c r="H30" s="193" t="s">
        <v>84</v>
      </c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5"/>
      <c r="BL30" s="172">
        <v>1.1339999999999999</v>
      </c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4"/>
      <c r="BZ30" s="172">
        <v>2.5670000000000002</v>
      </c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4"/>
      <c r="CN30" s="172">
        <f>BZ30*1.051</f>
        <v>2.6979169999999999</v>
      </c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4"/>
      <c r="DB30" s="172">
        <f>CN30*1.059</f>
        <v>2.8570941029999997</v>
      </c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4"/>
      <c r="DP30" s="172">
        <f>DB30*1.059</f>
        <v>3.0256626550769994</v>
      </c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5"/>
    </row>
    <row r="31" spans="1:137">
      <c r="A31" s="166" t="s">
        <v>85</v>
      </c>
      <c r="B31" s="167"/>
      <c r="C31" s="167"/>
      <c r="D31" s="167"/>
      <c r="E31" s="167"/>
      <c r="F31" s="167"/>
      <c r="G31" s="168"/>
      <c r="H31" s="193" t="s">
        <v>86</v>
      </c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5"/>
      <c r="BL31" s="172">
        <v>30.251999999999999</v>
      </c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4"/>
      <c r="BZ31" s="172">
        <v>32.316000000000003</v>
      </c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4"/>
      <c r="CN31" s="172">
        <f>BZ31*1.051</f>
        <v>33.964115999999997</v>
      </c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4"/>
      <c r="DB31" s="172">
        <f>CN31*1.059</f>
        <v>35.967998843999993</v>
      </c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4"/>
      <c r="DP31" s="172">
        <f>DB31*1.059</f>
        <v>38.090110775795992</v>
      </c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5"/>
    </row>
    <row r="32" spans="1:137" ht="13.5" thickBot="1">
      <c r="A32" s="183" t="s">
        <v>87</v>
      </c>
      <c r="B32" s="184"/>
      <c r="C32" s="184"/>
      <c r="D32" s="184"/>
      <c r="E32" s="184"/>
      <c r="F32" s="184"/>
      <c r="G32" s="185"/>
      <c r="H32" s="186" t="s">
        <v>88</v>
      </c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8"/>
      <c r="BL32" s="172">
        <v>14.349</v>
      </c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4"/>
      <c r="BZ32" s="172">
        <v>10.191000000000001</v>
      </c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4"/>
      <c r="CN32" s="172">
        <f>BZ32*1.051</f>
        <v>10.710741000000001</v>
      </c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4"/>
      <c r="DB32" s="172">
        <f>CN32*1.059</f>
        <v>11.342674719</v>
      </c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4"/>
      <c r="DP32" s="172">
        <f>DB32*1.059</f>
        <v>12.011892527420999</v>
      </c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5"/>
    </row>
    <row r="33" spans="1:137" ht="13.5" thickBot="1">
      <c r="A33" s="203" t="s">
        <v>89</v>
      </c>
      <c r="B33" s="204"/>
      <c r="C33" s="204"/>
      <c r="D33" s="204"/>
      <c r="E33" s="204"/>
      <c r="F33" s="204"/>
      <c r="G33" s="205"/>
      <c r="H33" s="206" t="s">
        <v>90</v>
      </c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8"/>
      <c r="BL33" s="209">
        <f>BL15-BL19</f>
        <v>28.099499999999978</v>
      </c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1"/>
      <c r="BZ33" s="209">
        <f>BZ15-BZ19</f>
        <v>23.58499999999998</v>
      </c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1"/>
      <c r="CN33" s="209">
        <f>CN15-CN19</f>
        <v>32.15289199999998</v>
      </c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1"/>
      <c r="DB33" s="209">
        <f>DB15-DB19</f>
        <v>35.311333628</v>
      </c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1"/>
      <c r="DP33" s="209">
        <f>DP15-DP19</f>
        <v>33.742015312052047</v>
      </c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2"/>
    </row>
    <row r="34" spans="1:137">
      <c r="A34" s="151" t="s">
        <v>91</v>
      </c>
      <c r="B34" s="152"/>
      <c r="C34" s="152"/>
      <c r="D34" s="152"/>
      <c r="E34" s="152"/>
      <c r="F34" s="152"/>
      <c r="G34" s="153"/>
      <c r="H34" s="154" t="s">
        <v>92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6"/>
      <c r="BL34" s="157">
        <f>BL35-BL39</f>
        <v>-0.215</v>
      </c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9"/>
      <c r="BZ34" s="157">
        <f>BZ35-BZ39</f>
        <v>-0.61199999999999999</v>
      </c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9"/>
      <c r="CN34" s="157">
        <f>CN35-CN39</f>
        <v>-0.64300000000000002</v>
      </c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9"/>
      <c r="DB34" s="157">
        <f>DB35-DB39</f>
        <v>-0.68093700000000001</v>
      </c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9"/>
      <c r="DP34" s="157">
        <f>DP35-DP39</f>
        <v>-0.72199999999999998</v>
      </c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60"/>
    </row>
    <row r="35" spans="1:137">
      <c r="A35" s="166" t="s">
        <v>1</v>
      </c>
      <c r="B35" s="167"/>
      <c r="C35" s="167"/>
      <c r="D35" s="167"/>
      <c r="E35" s="167"/>
      <c r="F35" s="167"/>
      <c r="G35" s="168"/>
      <c r="H35" s="193" t="s">
        <v>93</v>
      </c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5"/>
      <c r="BL35" s="163">
        <f>BL37+BL38</f>
        <v>0</v>
      </c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79"/>
      <c r="BZ35" s="163">
        <f>BZ37+BZ38</f>
        <v>0</v>
      </c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79"/>
      <c r="CN35" s="163">
        <f>CN37+CN38</f>
        <v>0</v>
      </c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79"/>
      <c r="DB35" s="163">
        <f>DB37+DB38</f>
        <v>0</v>
      </c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79"/>
      <c r="DP35" s="163">
        <f>DP37+DP38</f>
        <v>0</v>
      </c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5"/>
    </row>
    <row r="36" spans="1:137">
      <c r="A36" s="166"/>
      <c r="B36" s="167"/>
      <c r="C36" s="167"/>
      <c r="D36" s="167"/>
      <c r="E36" s="167"/>
      <c r="F36" s="167"/>
      <c r="G36" s="168"/>
      <c r="H36" s="193" t="s">
        <v>94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5"/>
      <c r="BL36" s="163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79"/>
      <c r="BZ36" s="163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79"/>
      <c r="CN36" s="163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79"/>
      <c r="DB36" s="163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79"/>
      <c r="DP36" s="163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5"/>
    </row>
    <row r="37" spans="1:137">
      <c r="A37" s="166" t="s">
        <v>2</v>
      </c>
      <c r="B37" s="167"/>
      <c r="C37" s="167"/>
      <c r="D37" s="167"/>
      <c r="E37" s="167"/>
      <c r="F37" s="167"/>
      <c r="G37" s="168"/>
      <c r="H37" s="169" t="s">
        <v>95</v>
      </c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1"/>
      <c r="BL37" s="163">
        <v>0</v>
      </c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79"/>
      <c r="BZ37" s="163">
        <v>0</v>
      </c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79"/>
      <c r="CN37" s="163">
        <v>0</v>
      </c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79"/>
      <c r="DB37" s="163">
        <v>0</v>
      </c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79"/>
      <c r="DP37" s="163">
        <v>0</v>
      </c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5"/>
    </row>
    <row r="38" spans="1:137">
      <c r="A38" s="166" t="s">
        <v>3</v>
      </c>
      <c r="B38" s="167"/>
      <c r="C38" s="167"/>
      <c r="D38" s="167"/>
      <c r="E38" s="167"/>
      <c r="F38" s="167"/>
      <c r="G38" s="168"/>
      <c r="H38" s="193" t="s">
        <v>96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5"/>
      <c r="BL38" s="163">
        <v>0</v>
      </c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79"/>
      <c r="BZ38" s="163">
        <v>0</v>
      </c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79"/>
      <c r="CN38" s="163">
        <v>0</v>
      </c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79"/>
      <c r="DB38" s="163">
        <v>0</v>
      </c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79"/>
      <c r="DP38" s="163">
        <v>0</v>
      </c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5"/>
    </row>
    <row r="39" spans="1:137">
      <c r="A39" s="166" t="s">
        <v>16</v>
      </c>
      <c r="B39" s="167"/>
      <c r="C39" s="167"/>
      <c r="D39" s="167"/>
      <c r="E39" s="167"/>
      <c r="F39" s="167"/>
      <c r="G39" s="168"/>
      <c r="H39" s="193" t="s">
        <v>97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5"/>
      <c r="BL39" s="172">
        <v>0.215</v>
      </c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4"/>
      <c r="BZ39" s="172">
        <v>0.61199999999999999</v>
      </c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4"/>
      <c r="CN39" s="172">
        <v>0.64300000000000002</v>
      </c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4"/>
      <c r="DB39" s="172">
        <f>CN39*1.059</f>
        <v>0.68093700000000001</v>
      </c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4"/>
      <c r="DP39" s="172">
        <v>0.72199999999999998</v>
      </c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5"/>
    </row>
    <row r="40" spans="1:137">
      <c r="A40" s="166"/>
      <c r="B40" s="167"/>
      <c r="C40" s="167"/>
      <c r="D40" s="167"/>
      <c r="E40" s="167"/>
      <c r="F40" s="167"/>
      <c r="G40" s="168"/>
      <c r="H40" s="193" t="s">
        <v>94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5"/>
      <c r="BL40" s="163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79"/>
      <c r="BZ40" s="163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79"/>
      <c r="CN40" s="163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79"/>
      <c r="DB40" s="163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79"/>
      <c r="DP40" s="163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5"/>
    </row>
    <row r="41" spans="1:137" ht="13.5" thickBot="1">
      <c r="A41" s="183" t="s">
        <v>8</v>
      </c>
      <c r="B41" s="184"/>
      <c r="C41" s="184"/>
      <c r="D41" s="184"/>
      <c r="E41" s="184"/>
      <c r="F41" s="184"/>
      <c r="G41" s="185"/>
      <c r="H41" s="186" t="s">
        <v>98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8"/>
      <c r="BL41" s="213">
        <v>0</v>
      </c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5"/>
      <c r="BZ41" s="213">
        <v>0</v>
      </c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5"/>
      <c r="CN41" s="213">
        <v>0</v>
      </c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5"/>
      <c r="DB41" s="213">
        <v>0</v>
      </c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5"/>
      <c r="DP41" s="213">
        <v>0</v>
      </c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6"/>
    </row>
    <row r="42" spans="1:137" ht="13.5" thickBot="1">
      <c r="A42" s="203" t="s">
        <v>99</v>
      </c>
      <c r="B42" s="204"/>
      <c r="C42" s="204"/>
      <c r="D42" s="204"/>
      <c r="E42" s="204"/>
      <c r="F42" s="204"/>
      <c r="G42" s="205"/>
      <c r="H42" s="206" t="s">
        <v>100</v>
      </c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8"/>
      <c r="BL42" s="209">
        <f>BL33+BL34</f>
        <v>27.884499999999978</v>
      </c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1"/>
      <c r="BZ42" s="209">
        <f>BZ33+BZ34</f>
        <v>22.972999999999981</v>
      </c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1"/>
      <c r="CN42" s="209">
        <f>CN33+CN34</f>
        <v>31.509891999999979</v>
      </c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1"/>
      <c r="DB42" s="209">
        <f>DB33+DB34</f>
        <v>34.630396628</v>
      </c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1"/>
      <c r="DP42" s="209">
        <f>DP33+DP34</f>
        <v>33.020015312052045</v>
      </c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2"/>
    </row>
    <row r="43" spans="1:137" ht="13.5" thickBot="1">
      <c r="A43" s="203" t="s">
        <v>101</v>
      </c>
      <c r="B43" s="204"/>
      <c r="C43" s="204"/>
      <c r="D43" s="204"/>
      <c r="E43" s="204"/>
      <c r="F43" s="204"/>
      <c r="G43" s="205"/>
      <c r="H43" s="206" t="s">
        <v>102</v>
      </c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8"/>
      <c r="BL43" s="209">
        <f>BL42*20/100</f>
        <v>5.5768999999999957</v>
      </c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1"/>
      <c r="BZ43" s="209">
        <f>BZ42*20/100</f>
        <v>4.5945999999999962</v>
      </c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1"/>
      <c r="CN43" s="209">
        <f>CN42*20/100</f>
        <v>6.3019783999999959</v>
      </c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1"/>
      <c r="DB43" s="209">
        <f>DB42*20/100</f>
        <v>6.9260793255999999</v>
      </c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1"/>
      <c r="DP43" s="209">
        <f>DP42*20/100</f>
        <v>6.6040030624104089</v>
      </c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2"/>
      <c r="EG43" s="20"/>
    </row>
    <row r="44" spans="1:137" ht="13.5" thickBot="1">
      <c r="A44" s="203" t="s">
        <v>103</v>
      </c>
      <c r="B44" s="204"/>
      <c r="C44" s="204"/>
      <c r="D44" s="204"/>
      <c r="E44" s="204"/>
      <c r="F44" s="204"/>
      <c r="G44" s="205"/>
      <c r="H44" s="206" t="s">
        <v>104</v>
      </c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8"/>
      <c r="BL44" s="209">
        <f>BL42-BL43</f>
        <v>22.307599999999983</v>
      </c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9"/>
      <c r="BZ44" s="209">
        <f>BZ42-BZ43</f>
        <v>18.378399999999985</v>
      </c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9"/>
      <c r="CN44" s="209">
        <f>CN42-CN43</f>
        <v>25.207913599999983</v>
      </c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9"/>
      <c r="DB44" s="209">
        <f>DB42-DB43</f>
        <v>27.7043173024</v>
      </c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9"/>
      <c r="DP44" s="209">
        <f>DP42-DP43</f>
        <v>26.416012249641636</v>
      </c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8"/>
      <c r="EG44" s="20"/>
    </row>
    <row r="45" spans="1:137">
      <c r="A45" s="151" t="s">
        <v>105</v>
      </c>
      <c r="B45" s="152"/>
      <c r="C45" s="152"/>
      <c r="D45" s="152"/>
      <c r="E45" s="152"/>
      <c r="F45" s="152"/>
      <c r="G45" s="153"/>
      <c r="H45" s="154" t="s">
        <v>106</v>
      </c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6"/>
      <c r="BL45" s="157">
        <f>BL47+BL48+BL49+BL50</f>
        <v>0.32</v>
      </c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9"/>
      <c r="BZ45" s="157">
        <f>BZ47+BZ48+BZ49+BZ50</f>
        <v>0.47499999999999998</v>
      </c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9"/>
      <c r="CN45" s="157">
        <f>CN47+CN48+CN49+CN50</f>
        <v>0.499</v>
      </c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9"/>
      <c r="DB45" s="157">
        <f>DB47+DB48+DB49+DB50</f>
        <v>0.52800000000000002</v>
      </c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9"/>
      <c r="DP45" s="157">
        <f>DP47+DP48+DP49+DP50</f>
        <v>0.55900000000000005</v>
      </c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60"/>
    </row>
    <row r="46" spans="1:137">
      <c r="A46" s="166"/>
      <c r="B46" s="167"/>
      <c r="C46" s="167"/>
      <c r="D46" s="167"/>
      <c r="E46" s="167"/>
      <c r="F46" s="167"/>
      <c r="G46" s="168"/>
      <c r="H46" s="193" t="s">
        <v>71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5"/>
      <c r="BL46" s="163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79"/>
      <c r="BZ46" s="163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79"/>
      <c r="CN46" s="163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79"/>
      <c r="DB46" s="163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79"/>
      <c r="DP46" s="163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5"/>
    </row>
    <row r="47" spans="1:137">
      <c r="A47" s="166" t="s">
        <v>1</v>
      </c>
      <c r="B47" s="167"/>
      <c r="C47" s="167"/>
      <c r="D47" s="167"/>
      <c r="E47" s="167"/>
      <c r="F47" s="167"/>
      <c r="G47" s="168"/>
      <c r="H47" s="193" t="s">
        <v>107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5"/>
      <c r="BL47" s="172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79"/>
      <c r="BZ47" s="172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79"/>
      <c r="CN47" s="163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79"/>
      <c r="DB47" s="163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79"/>
      <c r="DP47" s="163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5"/>
    </row>
    <row r="48" spans="1:137">
      <c r="A48" s="166" t="s">
        <v>16</v>
      </c>
      <c r="B48" s="167"/>
      <c r="C48" s="167"/>
      <c r="D48" s="167"/>
      <c r="E48" s="167"/>
      <c r="F48" s="167"/>
      <c r="G48" s="168"/>
      <c r="H48" s="193" t="s">
        <v>108</v>
      </c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5"/>
      <c r="BL48" s="163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79"/>
      <c r="BZ48" s="163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79"/>
      <c r="CN48" s="163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79"/>
      <c r="DB48" s="163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79"/>
      <c r="DP48" s="163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5"/>
    </row>
    <row r="49" spans="1:133">
      <c r="A49" s="166" t="s">
        <v>17</v>
      </c>
      <c r="B49" s="167"/>
      <c r="C49" s="167"/>
      <c r="D49" s="167"/>
      <c r="E49" s="167"/>
      <c r="F49" s="167"/>
      <c r="G49" s="168"/>
      <c r="H49" s="193" t="s">
        <v>109</v>
      </c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5"/>
      <c r="BL49" s="163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79"/>
      <c r="BZ49" s="163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79"/>
      <c r="CN49" s="163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79"/>
      <c r="DB49" s="163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79"/>
      <c r="DP49" s="163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5"/>
    </row>
    <row r="50" spans="1:133" ht="13.5" thickBot="1">
      <c r="A50" s="183" t="s">
        <v>18</v>
      </c>
      <c r="B50" s="184"/>
      <c r="C50" s="184"/>
      <c r="D50" s="184"/>
      <c r="E50" s="184"/>
      <c r="F50" s="184"/>
      <c r="G50" s="185"/>
      <c r="H50" s="186" t="s">
        <v>110</v>
      </c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8"/>
      <c r="BL50" s="172">
        <v>0.32</v>
      </c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4"/>
      <c r="BZ50" s="172">
        <v>0.47499999999999998</v>
      </c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4"/>
      <c r="CN50" s="172">
        <v>0.499</v>
      </c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4"/>
      <c r="DB50" s="172">
        <v>0.52800000000000002</v>
      </c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4"/>
      <c r="DP50" s="172">
        <v>0.55900000000000005</v>
      </c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5"/>
    </row>
    <row r="51" spans="1:133">
      <c r="A51" s="151" t="s">
        <v>111</v>
      </c>
      <c r="B51" s="152"/>
      <c r="C51" s="152"/>
      <c r="D51" s="152"/>
      <c r="E51" s="152"/>
      <c r="F51" s="152"/>
      <c r="G51" s="153"/>
      <c r="H51" s="154" t="s">
        <v>112</v>
      </c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6"/>
      <c r="BL51" s="132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47"/>
      <c r="BZ51" s="132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47"/>
      <c r="CN51" s="132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47"/>
      <c r="DB51" s="132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47"/>
      <c r="DP51" s="132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4"/>
    </row>
    <row r="52" spans="1:133">
      <c r="A52" s="166" t="s">
        <v>1</v>
      </c>
      <c r="B52" s="167"/>
      <c r="C52" s="167"/>
      <c r="D52" s="167"/>
      <c r="E52" s="167"/>
      <c r="F52" s="167"/>
      <c r="G52" s="168"/>
      <c r="H52" s="193" t="s">
        <v>113</v>
      </c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5"/>
      <c r="BL52" s="163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79"/>
      <c r="BZ52" s="163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79"/>
      <c r="CN52" s="163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79"/>
      <c r="DB52" s="163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79"/>
      <c r="DP52" s="163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5"/>
    </row>
    <row r="53" spans="1:133">
      <c r="A53" s="166" t="s">
        <v>16</v>
      </c>
      <c r="B53" s="167"/>
      <c r="C53" s="167"/>
      <c r="D53" s="167"/>
      <c r="E53" s="167"/>
      <c r="F53" s="167"/>
      <c r="G53" s="168"/>
      <c r="H53" s="193" t="s">
        <v>114</v>
      </c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5"/>
      <c r="BL53" s="163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79"/>
      <c r="BZ53" s="163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79"/>
      <c r="CN53" s="163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79"/>
      <c r="DB53" s="163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79"/>
      <c r="DP53" s="163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5"/>
    </row>
    <row r="54" spans="1:133" ht="13.5" thickBot="1">
      <c r="A54" s="183"/>
      <c r="B54" s="184"/>
      <c r="C54" s="184"/>
      <c r="D54" s="184"/>
      <c r="E54" s="184"/>
      <c r="F54" s="184"/>
      <c r="G54" s="185"/>
      <c r="H54" s="186" t="s">
        <v>115</v>
      </c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8"/>
      <c r="BL54" s="213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5"/>
      <c r="BZ54" s="213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5"/>
      <c r="CN54" s="213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5"/>
      <c r="DB54" s="213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5"/>
      <c r="DP54" s="213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6"/>
    </row>
    <row r="55" spans="1:133">
      <c r="A55" s="151" t="s">
        <v>116</v>
      </c>
      <c r="B55" s="152"/>
      <c r="C55" s="152"/>
      <c r="D55" s="152"/>
      <c r="E55" s="152"/>
      <c r="F55" s="152"/>
      <c r="G55" s="153"/>
      <c r="H55" s="154" t="s">
        <v>117</v>
      </c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6"/>
      <c r="BL55" s="132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47"/>
      <c r="BZ55" s="132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47"/>
      <c r="CN55" s="132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47"/>
      <c r="DB55" s="132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47"/>
      <c r="DP55" s="132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4"/>
    </row>
    <row r="56" spans="1:133">
      <c r="A56" s="166" t="s">
        <v>1</v>
      </c>
      <c r="B56" s="167"/>
      <c r="C56" s="167"/>
      <c r="D56" s="167"/>
      <c r="E56" s="167"/>
      <c r="F56" s="167"/>
      <c r="G56" s="168"/>
      <c r="H56" s="193" t="s">
        <v>118</v>
      </c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5"/>
      <c r="BL56" s="163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79"/>
      <c r="BZ56" s="163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79"/>
      <c r="CN56" s="163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79"/>
      <c r="DB56" s="163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79"/>
      <c r="DP56" s="163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5"/>
    </row>
    <row r="57" spans="1:133">
      <c r="A57" s="166" t="s">
        <v>16</v>
      </c>
      <c r="B57" s="167"/>
      <c r="C57" s="167"/>
      <c r="D57" s="167"/>
      <c r="E57" s="167"/>
      <c r="F57" s="167"/>
      <c r="G57" s="168"/>
      <c r="H57" s="193" t="s">
        <v>119</v>
      </c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5"/>
      <c r="BL57" s="163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79"/>
      <c r="BZ57" s="163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79"/>
      <c r="CN57" s="163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79"/>
      <c r="DB57" s="163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79"/>
      <c r="DP57" s="163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5"/>
    </row>
    <row r="58" spans="1:133" ht="13.5" thickBot="1">
      <c r="A58" s="183"/>
      <c r="B58" s="184"/>
      <c r="C58" s="184"/>
      <c r="D58" s="184"/>
      <c r="E58" s="184"/>
      <c r="F58" s="184"/>
      <c r="G58" s="185"/>
      <c r="H58" s="186" t="s">
        <v>115</v>
      </c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8"/>
      <c r="BL58" s="213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5"/>
      <c r="BZ58" s="213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5"/>
      <c r="CN58" s="213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4"/>
      <c r="DA58" s="215"/>
      <c r="DB58" s="213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5"/>
      <c r="DP58" s="213"/>
      <c r="DQ58" s="214"/>
      <c r="DR58" s="214"/>
      <c r="DS58" s="214"/>
      <c r="DT58" s="214"/>
      <c r="DU58" s="214"/>
      <c r="DV58" s="214"/>
      <c r="DW58" s="214"/>
      <c r="DX58" s="214"/>
      <c r="DY58" s="214"/>
      <c r="DZ58" s="214"/>
      <c r="EA58" s="214"/>
      <c r="EB58" s="214"/>
      <c r="EC58" s="216"/>
    </row>
    <row r="59" spans="1:133">
      <c r="A59" s="151" t="s">
        <v>120</v>
      </c>
      <c r="B59" s="152"/>
      <c r="C59" s="152"/>
      <c r="D59" s="152"/>
      <c r="E59" s="152"/>
      <c r="F59" s="152"/>
      <c r="G59" s="153"/>
      <c r="H59" s="154" t="s">
        <v>121</v>
      </c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6"/>
      <c r="BL59" s="132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47"/>
      <c r="BZ59" s="132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47"/>
      <c r="CN59" s="132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47"/>
      <c r="DB59" s="132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47"/>
      <c r="DP59" s="132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4"/>
    </row>
    <row r="60" spans="1:133">
      <c r="A60" s="166"/>
      <c r="B60" s="167"/>
      <c r="C60" s="167"/>
      <c r="D60" s="167"/>
      <c r="E60" s="167"/>
      <c r="F60" s="167"/>
      <c r="G60" s="168"/>
      <c r="H60" s="193" t="s">
        <v>122</v>
      </c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5"/>
      <c r="BL60" s="163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79"/>
      <c r="BZ60" s="163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79"/>
      <c r="CN60" s="163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79"/>
      <c r="DB60" s="163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79"/>
      <c r="DP60" s="163"/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5"/>
    </row>
    <row r="61" spans="1:133">
      <c r="A61" s="166" t="s">
        <v>1</v>
      </c>
      <c r="B61" s="167"/>
      <c r="C61" s="167"/>
      <c r="D61" s="167"/>
      <c r="E61" s="167"/>
      <c r="F61" s="167"/>
      <c r="G61" s="168"/>
      <c r="H61" s="193" t="s">
        <v>123</v>
      </c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5"/>
      <c r="BL61" s="163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79"/>
      <c r="BZ61" s="163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79"/>
      <c r="CN61" s="163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79"/>
      <c r="DB61" s="163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79"/>
      <c r="DP61" s="163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5"/>
    </row>
    <row r="62" spans="1:133">
      <c r="A62" s="166" t="s">
        <v>2</v>
      </c>
      <c r="B62" s="167"/>
      <c r="C62" s="167"/>
      <c r="D62" s="167"/>
      <c r="E62" s="167"/>
      <c r="F62" s="167"/>
      <c r="G62" s="168"/>
      <c r="H62" s="193" t="s">
        <v>321</v>
      </c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5"/>
      <c r="BL62" s="163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79"/>
      <c r="BZ62" s="163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79"/>
      <c r="CN62" s="163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79"/>
      <c r="DB62" s="163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79"/>
      <c r="DP62" s="163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5"/>
    </row>
    <row r="63" spans="1:133" ht="13.5" thickBot="1">
      <c r="A63" s="183" t="s">
        <v>16</v>
      </c>
      <c r="B63" s="184"/>
      <c r="C63" s="184"/>
      <c r="D63" s="184"/>
      <c r="E63" s="184"/>
      <c r="F63" s="184"/>
      <c r="G63" s="185"/>
      <c r="H63" s="186" t="s">
        <v>125</v>
      </c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8"/>
      <c r="BL63" s="213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5"/>
      <c r="BZ63" s="213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5"/>
      <c r="CN63" s="213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5"/>
      <c r="DB63" s="213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5"/>
      <c r="DP63" s="213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6"/>
    </row>
    <row r="64" spans="1:133">
      <c r="A64" s="151" t="s">
        <v>126</v>
      </c>
      <c r="B64" s="152"/>
      <c r="C64" s="152"/>
      <c r="D64" s="152"/>
      <c r="E64" s="152"/>
      <c r="F64" s="152"/>
      <c r="G64" s="153"/>
      <c r="H64" s="154" t="s">
        <v>127</v>
      </c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6"/>
      <c r="BL64" s="132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47"/>
      <c r="BZ64" s="132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47"/>
      <c r="CN64" s="132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47"/>
      <c r="DB64" s="132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47"/>
      <c r="DP64" s="132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4"/>
    </row>
    <row r="65" spans="1:137">
      <c r="A65" s="166"/>
      <c r="B65" s="167"/>
      <c r="C65" s="167"/>
      <c r="D65" s="167"/>
      <c r="E65" s="167"/>
      <c r="F65" s="167"/>
      <c r="G65" s="168"/>
      <c r="H65" s="193" t="s">
        <v>128</v>
      </c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5"/>
      <c r="BL65" s="163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79"/>
      <c r="BZ65" s="163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79"/>
      <c r="CN65" s="163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79"/>
      <c r="DB65" s="163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79"/>
      <c r="DP65" s="163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5"/>
    </row>
    <row r="66" spans="1:137">
      <c r="A66" s="166" t="s">
        <v>1</v>
      </c>
      <c r="B66" s="167"/>
      <c r="C66" s="167"/>
      <c r="D66" s="167"/>
      <c r="E66" s="167"/>
      <c r="F66" s="167"/>
      <c r="G66" s="168"/>
      <c r="H66" s="193" t="s">
        <v>129</v>
      </c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5"/>
      <c r="BL66" s="163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79"/>
      <c r="BZ66" s="163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79"/>
      <c r="CN66" s="163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79"/>
      <c r="DB66" s="163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79"/>
      <c r="DP66" s="163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5"/>
    </row>
    <row r="67" spans="1:137">
      <c r="A67" s="166" t="s">
        <v>2</v>
      </c>
      <c r="B67" s="167"/>
      <c r="C67" s="167"/>
      <c r="D67" s="167"/>
      <c r="E67" s="167"/>
      <c r="F67" s="167"/>
      <c r="G67" s="168"/>
      <c r="H67" s="193" t="s">
        <v>124</v>
      </c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5"/>
      <c r="BL67" s="163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79"/>
      <c r="BZ67" s="163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79"/>
      <c r="CN67" s="163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79"/>
      <c r="DB67" s="163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79"/>
      <c r="DP67" s="163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5"/>
    </row>
    <row r="68" spans="1:137" ht="13.5" thickBot="1">
      <c r="A68" s="183" t="s">
        <v>16</v>
      </c>
      <c r="B68" s="184"/>
      <c r="C68" s="184"/>
      <c r="D68" s="184"/>
      <c r="E68" s="184"/>
      <c r="F68" s="184"/>
      <c r="G68" s="185"/>
      <c r="H68" s="186" t="s">
        <v>125</v>
      </c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8"/>
      <c r="BL68" s="213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5"/>
      <c r="BZ68" s="213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5"/>
      <c r="CN68" s="213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5"/>
      <c r="DB68" s="213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5"/>
      <c r="DP68" s="213"/>
      <c r="DQ68" s="214"/>
      <c r="DR68" s="214"/>
      <c r="DS68" s="214"/>
      <c r="DT68" s="214"/>
      <c r="DU68" s="214"/>
      <c r="DV68" s="214"/>
      <c r="DW68" s="214"/>
      <c r="DX68" s="214"/>
      <c r="DY68" s="214"/>
      <c r="DZ68" s="214"/>
      <c r="EA68" s="214"/>
      <c r="EB68" s="214"/>
      <c r="EC68" s="216"/>
    </row>
    <row r="69" spans="1:137" ht="13.5" thickBot="1">
      <c r="A69" s="203" t="s">
        <v>130</v>
      </c>
      <c r="B69" s="204"/>
      <c r="C69" s="204"/>
      <c r="D69" s="204"/>
      <c r="E69" s="204"/>
      <c r="F69" s="204"/>
      <c r="G69" s="205"/>
      <c r="H69" s="206" t="s">
        <v>131</v>
      </c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8"/>
      <c r="BL69" s="209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1"/>
      <c r="BZ69" s="209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1"/>
      <c r="CN69" s="209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1"/>
      <c r="DB69" s="209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1"/>
      <c r="DP69" s="209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2"/>
    </row>
    <row r="70" spans="1:137">
      <c r="A70" s="151" t="s">
        <v>132</v>
      </c>
      <c r="B70" s="152"/>
      <c r="C70" s="152"/>
      <c r="D70" s="152"/>
      <c r="E70" s="152"/>
      <c r="F70" s="152"/>
      <c r="G70" s="153"/>
      <c r="H70" s="154" t="s">
        <v>133</v>
      </c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6"/>
      <c r="BL70" s="132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47"/>
      <c r="BZ70" s="132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47"/>
      <c r="CN70" s="132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47"/>
      <c r="DB70" s="132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47"/>
      <c r="DP70" s="132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4"/>
    </row>
    <row r="71" spans="1:137">
      <c r="A71" s="166" t="s">
        <v>1</v>
      </c>
      <c r="B71" s="167"/>
      <c r="C71" s="167"/>
      <c r="D71" s="167"/>
      <c r="E71" s="167"/>
      <c r="F71" s="167"/>
      <c r="G71" s="168"/>
      <c r="H71" s="193" t="s">
        <v>134</v>
      </c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5"/>
      <c r="BL71" s="163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79"/>
      <c r="BZ71" s="163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79"/>
      <c r="CN71" s="163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79"/>
      <c r="DB71" s="163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79"/>
      <c r="DP71" s="163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5"/>
    </row>
    <row r="72" spans="1:137" ht="13.5" thickBot="1">
      <c r="A72" s="183" t="s">
        <v>16</v>
      </c>
      <c r="B72" s="184"/>
      <c r="C72" s="184"/>
      <c r="D72" s="184"/>
      <c r="E72" s="184"/>
      <c r="F72" s="184"/>
      <c r="G72" s="185"/>
      <c r="H72" s="186" t="s">
        <v>135</v>
      </c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8"/>
      <c r="BL72" s="180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5"/>
      <c r="BZ72" s="180"/>
      <c r="CA72" s="214"/>
      <c r="CB72" s="214"/>
      <c r="CC72" s="214"/>
      <c r="CD72" s="214"/>
      <c r="CE72" s="214"/>
      <c r="CF72" s="214"/>
      <c r="CG72" s="214"/>
      <c r="CH72" s="214"/>
      <c r="CI72" s="214"/>
      <c r="CJ72" s="214"/>
      <c r="CK72" s="214"/>
      <c r="CL72" s="214"/>
      <c r="CM72" s="215"/>
      <c r="CN72" s="180"/>
      <c r="CO72" s="214"/>
      <c r="CP72" s="214"/>
      <c r="CQ72" s="214"/>
      <c r="CR72" s="214"/>
      <c r="CS72" s="214"/>
      <c r="CT72" s="214"/>
      <c r="CU72" s="214"/>
      <c r="CV72" s="214"/>
      <c r="CW72" s="214"/>
      <c r="CX72" s="214"/>
      <c r="CY72" s="214"/>
      <c r="CZ72" s="214"/>
      <c r="DA72" s="215"/>
      <c r="DB72" s="180"/>
      <c r="DC72" s="214"/>
      <c r="DD72" s="214"/>
      <c r="DE72" s="214"/>
      <c r="DF72" s="214"/>
      <c r="DG72" s="214"/>
      <c r="DH72" s="214"/>
      <c r="DI72" s="214"/>
      <c r="DJ72" s="214"/>
      <c r="DK72" s="214"/>
      <c r="DL72" s="214"/>
      <c r="DM72" s="214"/>
      <c r="DN72" s="214"/>
      <c r="DO72" s="215"/>
      <c r="DP72" s="180"/>
      <c r="DQ72" s="214"/>
      <c r="DR72" s="214"/>
      <c r="DS72" s="214"/>
      <c r="DT72" s="214"/>
      <c r="DU72" s="214"/>
      <c r="DV72" s="214"/>
      <c r="DW72" s="214"/>
      <c r="DX72" s="214"/>
      <c r="DY72" s="214"/>
      <c r="DZ72" s="214"/>
      <c r="EA72" s="214"/>
      <c r="EB72" s="214"/>
      <c r="EC72" s="215"/>
    </row>
    <row r="73" spans="1:137" ht="13.5" thickBot="1">
      <c r="A73" s="203" t="s">
        <v>136</v>
      </c>
      <c r="B73" s="204"/>
      <c r="C73" s="204"/>
      <c r="D73" s="204"/>
      <c r="E73" s="204"/>
      <c r="F73" s="204"/>
      <c r="G73" s="205"/>
      <c r="H73" s="206" t="s">
        <v>137</v>
      </c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8"/>
      <c r="BL73" s="220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9"/>
      <c r="BZ73" s="220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9"/>
      <c r="CN73" s="220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9"/>
      <c r="DB73" s="220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9"/>
      <c r="DP73" s="220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8"/>
    </row>
    <row r="74" spans="1:137" ht="25.5" customHeight="1">
      <c r="A74" s="151" t="s">
        <v>138</v>
      </c>
      <c r="B74" s="152"/>
      <c r="C74" s="152"/>
      <c r="D74" s="152"/>
      <c r="E74" s="152"/>
      <c r="F74" s="152"/>
      <c r="G74" s="153"/>
      <c r="H74" s="226" t="s">
        <v>332</v>
      </c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8"/>
      <c r="BL74" s="157">
        <f>15.389+1.82+6.599</f>
        <v>23.808</v>
      </c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9"/>
      <c r="BZ74" s="157">
        <f>16.004+1.816</f>
        <v>17.82</v>
      </c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9"/>
      <c r="CN74" s="157">
        <f>16.677+1.816</f>
        <v>18.492999999999999</v>
      </c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9"/>
      <c r="DB74" s="157">
        <f>17.36+1.816</f>
        <v>19.175999999999998</v>
      </c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9"/>
      <c r="DP74" s="157">
        <f>18.055+1.816</f>
        <v>19.870999999999999</v>
      </c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60"/>
      <c r="EG74" s="20"/>
    </row>
    <row r="75" spans="1:137">
      <c r="A75" s="221"/>
      <c r="B75" s="222"/>
      <c r="C75" s="222"/>
      <c r="D75" s="222"/>
      <c r="E75" s="222"/>
      <c r="F75" s="222"/>
      <c r="G75" s="222"/>
      <c r="H75" s="223" t="s">
        <v>124</v>
      </c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  <c r="CM75" s="224"/>
      <c r="CN75" s="224"/>
      <c r="CO75" s="224"/>
      <c r="CP75" s="224"/>
      <c r="CQ75" s="224"/>
      <c r="CR75" s="224"/>
      <c r="CS75" s="224"/>
      <c r="CT75" s="224"/>
      <c r="CU75" s="224"/>
      <c r="CV75" s="224"/>
      <c r="CW75" s="224"/>
      <c r="CX75" s="224"/>
      <c r="CY75" s="224"/>
      <c r="CZ75" s="224"/>
      <c r="DA75" s="224"/>
      <c r="DB75" s="224"/>
      <c r="DC75" s="224"/>
      <c r="DD75" s="224"/>
      <c r="DE75" s="224"/>
      <c r="DF75" s="224"/>
      <c r="DG75" s="224"/>
      <c r="DH75" s="224"/>
      <c r="DI75" s="224"/>
      <c r="DJ75" s="224"/>
      <c r="DK75" s="224"/>
      <c r="DL75" s="224"/>
      <c r="DM75" s="224"/>
      <c r="DN75" s="224"/>
      <c r="DO75" s="224"/>
      <c r="DP75" s="224"/>
      <c r="DQ75" s="224"/>
      <c r="DR75" s="224"/>
      <c r="DS75" s="224"/>
      <c r="DT75" s="224"/>
      <c r="DU75" s="224"/>
      <c r="DV75" s="224"/>
      <c r="DW75" s="224"/>
      <c r="DX75" s="224"/>
      <c r="DY75" s="224"/>
      <c r="DZ75" s="224"/>
      <c r="EA75" s="224"/>
      <c r="EB75" s="224"/>
      <c r="EC75" s="225"/>
    </row>
    <row r="76" spans="1:137">
      <c r="A76" s="221"/>
      <c r="B76" s="222"/>
      <c r="C76" s="222"/>
      <c r="D76" s="222"/>
      <c r="E76" s="222"/>
      <c r="F76" s="222"/>
      <c r="G76" s="222"/>
      <c r="H76" s="223" t="s">
        <v>329</v>
      </c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52"/>
      <c r="BM76" s="252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2"/>
      <c r="DH76" s="25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2"/>
      <c r="DS76" s="252"/>
      <c r="DT76" s="252"/>
      <c r="DU76" s="252"/>
      <c r="DV76" s="252"/>
      <c r="DW76" s="252"/>
      <c r="DX76" s="252"/>
      <c r="DY76" s="252"/>
      <c r="DZ76" s="252"/>
      <c r="EA76" s="252"/>
      <c r="EB76" s="252"/>
      <c r="EC76" s="253"/>
    </row>
    <row r="77" spans="1:137">
      <c r="A77" s="221"/>
      <c r="B77" s="222"/>
      <c r="C77" s="222"/>
      <c r="D77" s="222"/>
      <c r="E77" s="222"/>
      <c r="F77" s="222"/>
      <c r="G77" s="222"/>
      <c r="H77" s="254" t="s">
        <v>337</v>
      </c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190">
        <f>BL79+BL80+BL81</f>
        <v>42.554000000000002</v>
      </c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202"/>
      <c r="BZ77" s="190">
        <f>23.268/1.18</f>
        <v>19.71864406779661</v>
      </c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202"/>
      <c r="CN77" s="190">
        <f>31.3/1.18</f>
        <v>26.525423728813561</v>
      </c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202"/>
      <c r="DB77" s="190">
        <f>34.21/1.18</f>
        <v>28.991525423728817</v>
      </c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202"/>
      <c r="DP77" s="190">
        <f>32.654/1.18</f>
        <v>27.672881355932208</v>
      </c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2"/>
      <c r="EG77" s="20"/>
    </row>
    <row r="78" spans="1:137">
      <c r="A78" s="221"/>
      <c r="B78" s="222"/>
      <c r="C78" s="222"/>
      <c r="D78" s="222"/>
      <c r="E78" s="222"/>
      <c r="F78" s="222"/>
      <c r="G78" s="222"/>
      <c r="H78" s="223" t="s">
        <v>333</v>
      </c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3"/>
    </row>
    <row r="79" spans="1:137" ht="18.75" customHeight="1">
      <c r="A79" s="221"/>
      <c r="B79" s="222"/>
      <c r="C79" s="222"/>
      <c r="D79" s="222"/>
      <c r="E79" s="222"/>
      <c r="F79" s="222"/>
      <c r="G79" s="222"/>
      <c r="H79" s="254" t="s">
        <v>338</v>
      </c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190">
        <f>15.389+6.599+1.82</f>
        <v>23.808</v>
      </c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202"/>
      <c r="BZ79" s="190">
        <f>16.004+1.816</f>
        <v>17.82</v>
      </c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202"/>
      <c r="CN79" s="190">
        <f>16.677+1.816</f>
        <v>18.492999999999999</v>
      </c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202"/>
      <c r="DB79" s="190">
        <f>17.36+1.816</f>
        <v>19.175999999999998</v>
      </c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202"/>
      <c r="DP79" s="190">
        <f>18.055+1.816</f>
        <v>19.870999999999999</v>
      </c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2"/>
    </row>
    <row r="80" spans="1:137">
      <c r="A80" s="221"/>
      <c r="B80" s="222"/>
      <c r="C80" s="222"/>
      <c r="D80" s="222"/>
      <c r="E80" s="222"/>
      <c r="F80" s="222"/>
      <c r="G80" s="222"/>
      <c r="H80" s="254" t="s">
        <v>331</v>
      </c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9">
        <v>10.85</v>
      </c>
      <c r="BM80" s="259"/>
      <c r="BN80" s="259"/>
      <c r="BO80" s="259"/>
      <c r="BP80" s="259"/>
      <c r="BQ80" s="259"/>
      <c r="BR80" s="259"/>
      <c r="BS80" s="259"/>
      <c r="BT80" s="259"/>
      <c r="BU80" s="259"/>
      <c r="BV80" s="259"/>
      <c r="BW80" s="259"/>
      <c r="BX80" s="259"/>
      <c r="BY80" s="259"/>
      <c r="BZ80" s="224">
        <v>1.899</v>
      </c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  <c r="CM80" s="224"/>
      <c r="CN80" s="224">
        <v>8.032</v>
      </c>
      <c r="CO80" s="224"/>
      <c r="CP80" s="224"/>
      <c r="CQ80" s="224"/>
      <c r="CR80" s="224"/>
      <c r="CS80" s="224"/>
      <c r="CT80" s="224"/>
      <c r="CU80" s="224"/>
      <c r="CV80" s="224"/>
      <c r="CW80" s="224"/>
      <c r="CX80" s="224"/>
      <c r="CY80" s="224"/>
      <c r="CZ80" s="224"/>
      <c r="DA80" s="224"/>
      <c r="DB80" s="224">
        <v>9.8160000000000007</v>
      </c>
      <c r="DC80" s="224"/>
      <c r="DD80" s="224"/>
      <c r="DE80" s="224"/>
      <c r="DF80" s="224"/>
      <c r="DG80" s="224"/>
      <c r="DH80" s="224"/>
      <c r="DI80" s="224"/>
      <c r="DJ80" s="224"/>
      <c r="DK80" s="224"/>
      <c r="DL80" s="224"/>
      <c r="DM80" s="224"/>
      <c r="DN80" s="224"/>
      <c r="DO80" s="224"/>
      <c r="DP80" s="224">
        <v>7.8019999999999996</v>
      </c>
      <c r="DQ80" s="224"/>
      <c r="DR80" s="224"/>
      <c r="DS80" s="224"/>
      <c r="DT80" s="224"/>
      <c r="DU80" s="224"/>
      <c r="DV80" s="224"/>
      <c r="DW80" s="224"/>
      <c r="DX80" s="224"/>
      <c r="DY80" s="224"/>
      <c r="DZ80" s="224"/>
      <c r="EA80" s="224"/>
      <c r="EB80" s="224"/>
      <c r="EC80" s="225"/>
    </row>
    <row r="81" spans="1:137" ht="33.75" customHeight="1" thickBot="1">
      <c r="A81" s="243"/>
      <c r="B81" s="244"/>
      <c r="C81" s="244"/>
      <c r="D81" s="244"/>
      <c r="E81" s="244"/>
      <c r="F81" s="244"/>
      <c r="G81" s="245"/>
      <c r="H81" s="246" t="s">
        <v>330</v>
      </c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247"/>
      <c r="AR81" s="247"/>
      <c r="AS81" s="247"/>
      <c r="AT81" s="247"/>
      <c r="AU81" s="247"/>
      <c r="AV81" s="247"/>
      <c r="AW81" s="247"/>
      <c r="AX81" s="247"/>
      <c r="AY81" s="247"/>
      <c r="AZ81" s="247"/>
      <c r="BA81" s="247"/>
      <c r="BB81" s="247"/>
      <c r="BC81" s="247"/>
      <c r="BD81" s="247"/>
      <c r="BE81" s="247"/>
      <c r="BF81" s="247"/>
      <c r="BG81" s="247"/>
      <c r="BH81" s="247"/>
      <c r="BI81" s="247"/>
      <c r="BJ81" s="247"/>
      <c r="BK81" s="248"/>
      <c r="BL81" s="249">
        <v>7.8959999999999999</v>
      </c>
      <c r="BM81" s="250"/>
      <c r="BN81" s="250"/>
      <c r="BO81" s="250"/>
      <c r="BP81" s="250"/>
      <c r="BQ81" s="250"/>
      <c r="BR81" s="250"/>
      <c r="BS81" s="250"/>
      <c r="BT81" s="250"/>
      <c r="BU81" s="250"/>
      <c r="BV81" s="250"/>
      <c r="BW81" s="250"/>
      <c r="BX81" s="250"/>
      <c r="BY81" s="251"/>
      <c r="BZ81" s="249"/>
      <c r="CA81" s="250"/>
      <c r="CB81" s="250"/>
      <c r="CC81" s="250"/>
      <c r="CD81" s="250"/>
      <c r="CE81" s="250"/>
      <c r="CF81" s="250"/>
      <c r="CG81" s="250"/>
      <c r="CH81" s="250"/>
      <c r="CI81" s="250"/>
      <c r="CJ81" s="250"/>
      <c r="CK81" s="250"/>
      <c r="CL81" s="250"/>
      <c r="CM81" s="251"/>
      <c r="CN81" s="249"/>
      <c r="CO81" s="250"/>
      <c r="CP81" s="250"/>
      <c r="CQ81" s="250"/>
      <c r="CR81" s="250"/>
      <c r="CS81" s="250"/>
      <c r="CT81" s="250"/>
      <c r="CU81" s="250"/>
      <c r="CV81" s="250"/>
      <c r="CW81" s="250"/>
      <c r="CX81" s="250"/>
      <c r="CY81" s="250"/>
      <c r="CZ81" s="250"/>
      <c r="DA81" s="251"/>
      <c r="DB81" s="249"/>
      <c r="DC81" s="250"/>
      <c r="DD81" s="250"/>
      <c r="DE81" s="250"/>
      <c r="DF81" s="250"/>
      <c r="DG81" s="250"/>
      <c r="DH81" s="250"/>
      <c r="DI81" s="250"/>
      <c r="DJ81" s="250"/>
      <c r="DK81" s="250"/>
      <c r="DL81" s="250"/>
      <c r="DM81" s="250"/>
      <c r="DN81" s="250"/>
      <c r="DO81" s="251"/>
      <c r="DP81" s="249"/>
      <c r="DQ81" s="250"/>
      <c r="DR81" s="250"/>
      <c r="DS81" s="250"/>
      <c r="DT81" s="250"/>
      <c r="DU81" s="250"/>
      <c r="DV81" s="250"/>
      <c r="DW81" s="250"/>
      <c r="DX81" s="250"/>
      <c r="DY81" s="250"/>
      <c r="DZ81" s="250"/>
      <c r="EA81" s="250"/>
      <c r="EB81" s="250"/>
      <c r="EC81" s="258"/>
    </row>
    <row r="82" spans="1:137" ht="13.5" thickBot="1">
      <c r="A82" s="203" t="s">
        <v>138</v>
      </c>
      <c r="B82" s="204"/>
      <c r="C82" s="204"/>
      <c r="D82" s="204"/>
      <c r="E82" s="204"/>
      <c r="F82" s="204"/>
      <c r="G82" s="205"/>
      <c r="H82" s="229" t="s">
        <v>322</v>
      </c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1"/>
      <c r="BL82" s="209">
        <f>BL15+BL35+BL53+BL56+BL59+BL69+BL73</f>
        <v>206.66649999999998</v>
      </c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1"/>
      <c r="BZ82" s="209">
        <f>BZ15+BZ35+BZ53+BZ56+BZ59+BZ69+BZ73</f>
        <v>210.10900000000001</v>
      </c>
      <c r="CA82" s="210"/>
      <c r="CB82" s="210"/>
      <c r="CC82" s="210"/>
      <c r="CD82" s="210"/>
      <c r="CE82" s="210"/>
      <c r="CF82" s="210"/>
      <c r="CG82" s="210"/>
      <c r="CH82" s="210"/>
      <c r="CI82" s="210"/>
      <c r="CJ82" s="210"/>
      <c r="CK82" s="210"/>
      <c r="CL82" s="210"/>
      <c r="CM82" s="211"/>
      <c r="CN82" s="209">
        <f>CN15+CN35+CN53+CN56+CN59+CN69+CN73</f>
        <v>228.09699999999998</v>
      </c>
      <c r="CO82" s="210"/>
      <c r="CP82" s="210"/>
      <c r="CQ82" s="210"/>
      <c r="CR82" s="210"/>
      <c r="CS82" s="210"/>
      <c r="CT82" s="210"/>
      <c r="CU82" s="210"/>
      <c r="CV82" s="210"/>
      <c r="CW82" s="210"/>
      <c r="CX82" s="210"/>
      <c r="CY82" s="210"/>
      <c r="CZ82" s="210"/>
      <c r="DA82" s="211"/>
      <c r="DB82" s="209">
        <f>DB15+DB35+DB53+DB56+DB59+DB69+DB73</f>
        <v>242.709</v>
      </c>
      <c r="DC82" s="210"/>
      <c r="DD82" s="210"/>
      <c r="DE82" s="210"/>
      <c r="DF82" s="210"/>
      <c r="DG82" s="210"/>
      <c r="DH82" s="210"/>
      <c r="DI82" s="210"/>
      <c r="DJ82" s="210"/>
      <c r="DK82" s="210"/>
      <c r="DL82" s="210"/>
      <c r="DM82" s="210"/>
      <c r="DN82" s="210"/>
      <c r="DO82" s="211"/>
      <c r="DP82" s="209">
        <f>DP15+DP35+DP53+DP56+DP59+DP69+DP73</f>
        <v>253.26900000000001</v>
      </c>
      <c r="DQ82" s="210"/>
      <c r="DR82" s="210"/>
      <c r="DS82" s="210"/>
      <c r="DT82" s="210"/>
      <c r="DU82" s="210"/>
      <c r="DV82" s="210"/>
      <c r="DW82" s="210"/>
      <c r="DX82" s="210"/>
      <c r="DY82" s="210"/>
      <c r="DZ82" s="210"/>
      <c r="EA82" s="210"/>
      <c r="EB82" s="210"/>
      <c r="EC82" s="211"/>
    </row>
    <row r="83" spans="1:137">
      <c r="A83" s="151" t="s">
        <v>139</v>
      </c>
      <c r="B83" s="152"/>
      <c r="C83" s="152"/>
      <c r="D83" s="152"/>
      <c r="E83" s="152"/>
      <c r="F83" s="152"/>
      <c r="G83" s="153"/>
      <c r="H83" s="226" t="s">
        <v>140</v>
      </c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8"/>
      <c r="BL83" s="157">
        <f>BL19-BL26+BL39+BL52+BL57+BL43+BL45+BL64+BL71+BL74</f>
        <v>206.6669</v>
      </c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9"/>
      <c r="BZ83" s="157">
        <f>BZ19-BZ26+BZ39+BZ52+BZ57+BZ43+BZ45+BZ64+BZ71+BZ74</f>
        <v>208.20959999999999</v>
      </c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9"/>
      <c r="CN83" s="157">
        <f>CN19-CN26+CN39+CN52+CN57+CN43+CN45+CN64+CN71+CN74</f>
        <v>220.06508639999998</v>
      </c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9"/>
      <c r="DB83" s="157">
        <f>DB19-DB26+DB39+DB52+DB57+DB43+DB45+DB64+DB71+DB74</f>
        <v>232.89268269759998</v>
      </c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9"/>
      <c r="DP83" s="157">
        <f>DP19-DP26+DP39+DP52+DP57+DP43+DP45+DP64+DP71+DP74</f>
        <v>245.46698775035838</v>
      </c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60"/>
    </row>
    <row r="84" spans="1:137" ht="35.25" customHeight="1" thickBot="1">
      <c r="A84" s="235"/>
      <c r="B84" s="236"/>
      <c r="C84" s="236"/>
      <c r="D84" s="236"/>
      <c r="E84" s="236"/>
      <c r="F84" s="236"/>
      <c r="G84" s="237"/>
      <c r="H84" s="238" t="s">
        <v>336</v>
      </c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239"/>
      <c r="AY84" s="239"/>
      <c r="AZ84" s="239"/>
      <c r="BA84" s="239"/>
      <c r="BB84" s="239"/>
      <c r="BC84" s="239"/>
      <c r="BD84" s="239"/>
      <c r="BE84" s="239"/>
      <c r="BF84" s="239"/>
      <c r="BG84" s="239"/>
      <c r="BH84" s="239"/>
      <c r="BI84" s="239"/>
      <c r="BJ84" s="239"/>
      <c r="BK84" s="240"/>
      <c r="BL84" s="232">
        <f>BL82-BL83</f>
        <v>-4.0000000001327862E-4</v>
      </c>
      <c r="BM84" s="233"/>
      <c r="BN84" s="233"/>
      <c r="BO84" s="233"/>
      <c r="BP84" s="233"/>
      <c r="BQ84" s="233"/>
      <c r="BR84" s="233"/>
      <c r="BS84" s="233"/>
      <c r="BT84" s="233"/>
      <c r="BU84" s="233"/>
      <c r="BV84" s="233"/>
      <c r="BW84" s="233"/>
      <c r="BX84" s="233"/>
      <c r="BY84" s="241"/>
      <c r="BZ84" s="232">
        <f>BZ82-BZ83</f>
        <v>1.8994000000000142</v>
      </c>
      <c r="CA84" s="233"/>
      <c r="CB84" s="233"/>
      <c r="CC84" s="233"/>
      <c r="CD84" s="233"/>
      <c r="CE84" s="233"/>
      <c r="CF84" s="233"/>
      <c r="CG84" s="233"/>
      <c r="CH84" s="233"/>
      <c r="CI84" s="233"/>
      <c r="CJ84" s="233"/>
      <c r="CK84" s="233"/>
      <c r="CL84" s="233"/>
      <c r="CM84" s="241"/>
      <c r="CN84" s="232">
        <f>CN82-CN83</f>
        <v>8.0319135999999958</v>
      </c>
      <c r="CO84" s="233"/>
      <c r="CP84" s="233"/>
      <c r="CQ84" s="233"/>
      <c r="CR84" s="233"/>
      <c r="CS84" s="233"/>
      <c r="CT84" s="233"/>
      <c r="CU84" s="233"/>
      <c r="CV84" s="233"/>
      <c r="CW84" s="233"/>
      <c r="CX84" s="233"/>
      <c r="CY84" s="233"/>
      <c r="CZ84" s="233"/>
      <c r="DA84" s="241"/>
      <c r="DB84" s="232">
        <f>DB82-DB83</f>
        <v>9.816317302400023</v>
      </c>
      <c r="DC84" s="233"/>
      <c r="DD84" s="233"/>
      <c r="DE84" s="233"/>
      <c r="DF84" s="233"/>
      <c r="DG84" s="233"/>
      <c r="DH84" s="233"/>
      <c r="DI84" s="233"/>
      <c r="DJ84" s="233"/>
      <c r="DK84" s="233"/>
      <c r="DL84" s="233"/>
      <c r="DM84" s="233"/>
      <c r="DN84" s="233"/>
      <c r="DO84" s="241"/>
      <c r="DP84" s="232">
        <f>DP82-DP83</f>
        <v>7.8020122496416207</v>
      </c>
      <c r="DQ84" s="233"/>
      <c r="DR84" s="233"/>
      <c r="DS84" s="233"/>
      <c r="DT84" s="233"/>
      <c r="DU84" s="233"/>
      <c r="DV84" s="233"/>
      <c r="DW84" s="233"/>
      <c r="DX84" s="233"/>
      <c r="DY84" s="233"/>
      <c r="DZ84" s="233"/>
      <c r="EA84" s="233"/>
      <c r="EB84" s="233"/>
      <c r="EC84" s="234"/>
    </row>
    <row r="85" spans="1:137" ht="13.5" thickBot="1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4"/>
    </row>
    <row r="86" spans="1:137">
      <c r="A86" s="151"/>
      <c r="B86" s="152"/>
      <c r="C86" s="152"/>
      <c r="D86" s="152"/>
      <c r="E86" s="152"/>
      <c r="F86" s="152"/>
      <c r="G86" s="153"/>
      <c r="H86" s="154" t="s">
        <v>15</v>
      </c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6"/>
      <c r="BL86" s="132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47"/>
      <c r="BZ86" s="132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47"/>
      <c r="CN86" s="132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47"/>
      <c r="DB86" s="132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47"/>
      <c r="DP86" s="132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4"/>
    </row>
    <row r="87" spans="1:137">
      <c r="A87" s="166" t="s">
        <v>1</v>
      </c>
      <c r="B87" s="167"/>
      <c r="C87" s="167"/>
      <c r="D87" s="167"/>
      <c r="E87" s="167"/>
      <c r="F87" s="167"/>
      <c r="G87" s="168"/>
      <c r="H87" s="193" t="s">
        <v>141</v>
      </c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5"/>
      <c r="BL87" s="172">
        <f>BL42+BL26</f>
        <v>29.704499999999978</v>
      </c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79"/>
      <c r="BZ87" s="172">
        <f>BZ42+BZ26</f>
        <v>24.78899999999998</v>
      </c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79"/>
      <c r="CN87" s="172">
        <f>CN42+CN26</f>
        <v>33.325891999999982</v>
      </c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79"/>
      <c r="DB87" s="172">
        <f>DB42+DB26</f>
        <v>36.446396628000002</v>
      </c>
      <c r="DC87" s="164"/>
      <c r="DD87" s="164"/>
      <c r="DE87" s="164"/>
      <c r="DF87" s="164"/>
      <c r="DG87" s="164"/>
      <c r="DH87" s="164"/>
      <c r="DI87" s="164"/>
      <c r="DJ87" s="164"/>
      <c r="DK87" s="164"/>
      <c r="DL87" s="164"/>
      <c r="DM87" s="164"/>
      <c r="DN87" s="164"/>
      <c r="DO87" s="179"/>
      <c r="DP87" s="172">
        <f>DP42+DP26</f>
        <v>34.836015312052048</v>
      </c>
      <c r="DQ87" s="164"/>
      <c r="DR87" s="164"/>
      <c r="DS87" s="164"/>
      <c r="DT87" s="164"/>
      <c r="DU87" s="164"/>
      <c r="DV87" s="164"/>
      <c r="DW87" s="164"/>
      <c r="DX87" s="164"/>
      <c r="DY87" s="164"/>
      <c r="DZ87" s="164"/>
      <c r="EA87" s="164"/>
      <c r="EB87" s="164"/>
      <c r="EC87" s="165"/>
      <c r="EG87" s="20"/>
    </row>
    <row r="88" spans="1:137">
      <c r="A88" s="166" t="s">
        <v>16</v>
      </c>
      <c r="B88" s="167"/>
      <c r="C88" s="167"/>
      <c r="D88" s="167"/>
      <c r="E88" s="167"/>
      <c r="F88" s="167"/>
      <c r="G88" s="168"/>
      <c r="H88" s="193" t="s">
        <v>142</v>
      </c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5"/>
      <c r="BL88" s="163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79"/>
      <c r="BZ88" s="163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79"/>
      <c r="CN88" s="163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79"/>
      <c r="DB88" s="163"/>
      <c r="DC88" s="164"/>
      <c r="DD88" s="164"/>
      <c r="DE88" s="164"/>
      <c r="DF88" s="164"/>
      <c r="DG88" s="164"/>
      <c r="DH88" s="164"/>
      <c r="DI88" s="164"/>
      <c r="DJ88" s="164"/>
      <c r="DK88" s="164"/>
      <c r="DL88" s="164"/>
      <c r="DM88" s="164"/>
      <c r="DN88" s="164"/>
      <c r="DO88" s="179"/>
      <c r="DP88" s="163"/>
      <c r="DQ88" s="164"/>
      <c r="DR88" s="164"/>
      <c r="DS88" s="164"/>
      <c r="DT88" s="164"/>
      <c r="DU88" s="164"/>
      <c r="DV88" s="164"/>
      <c r="DW88" s="164"/>
      <c r="DX88" s="164"/>
      <c r="DY88" s="164"/>
      <c r="DZ88" s="164"/>
      <c r="EA88" s="164"/>
      <c r="EB88" s="164"/>
      <c r="EC88" s="165"/>
    </row>
    <row r="89" spans="1:137" ht="13.5" thickBot="1">
      <c r="A89" s="183" t="s">
        <v>17</v>
      </c>
      <c r="B89" s="184"/>
      <c r="C89" s="184"/>
      <c r="D89" s="184"/>
      <c r="E89" s="184"/>
      <c r="F89" s="184"/>
      <c r="G89" s="185"/>
      <c r="H89" s="186" t="s">
        <v>143</v>
      </c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8"/>
      <c r="BL89" s="180">
        <f>BL17/127.74</f>
        <v>1.4962032253013935</v>
      </c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9"/>
      <c r="BZ89" s="242">
        <f>BZ17/127.74</f>
        <v>1.6262329732268672</v>
      </c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181"/>
      <c r="CL89" s="181"/>
      <c r="CM89" s="189"/>
      <c r="CN89" s="180">
        <f>CN17/127.74</f>
        <v>1.7070377328949429</v>
      </c>
      <c r="CO89" s="181"/>
      <c r="CP89" s="181"/>
      <c r="CQ89" s="181"/>
      <c r="CR89" s="181"/>
      <c r="CS89" s="181"/>
      <c r="CT89" s="181"/>
      <c r="CU89" s="181"/>
      <c r="CV89" s="181"/>
      <c r="CW89" s="181"/>
      <c r="CX89" s="181"/>
      <c r="CY89" s="181"/>
      <c r="CZ89" s="181"/>
      <c r="DA89" s="189"/>
      <c r="DB89" s="180">
        <f>DB17/127.74</f>
        <v>1.8039689995302959</v>
      </c>
      <c r="DC89" s="181"/>
      <c r="DD89" s="181"/>
      <c r="DE89" s="181"/>
      <c r="DF89" s="181"/>
      <c r="DG89" s="181"/>
      <c r="DH89" s="181"/>
      <c r="DI89" s="181"/>
      <c r="DJ89" s="181"/>
      <c r="DK89" s="181"/>
      <c r="DL89" s="181"/>
      <c r="DM89" s="181"/>
      <c r="DN89" s="181"/>
      <c r="DO89" s="189"/>
      <c r="DP89" s="180">
        <f>DP17/127.74</f>
        <v>1.9063488335681855</v>
      </c>
      <c r="DQ89" s="181"/>
      <c r="DR89" s="181"/>
      <c r="DS89" s="181"/>
      <c r="DT89" s="181"/>
      <c r="DU89" s="181"/>
      <c r="DV89" s="181"/>
      <c r="DW89" s="181"/>
      <c r="DX89" s="181"/>
      <c r="DY89" s="181"/>
      <c r="DZ89" s="181"/>
      <c r="EA89" s="181"/>
      <c r="EB89" s="181"/>
      <c r="EC89" s="182"/>
    </row>
    <row r="90" spans="1:137" s="6" customFormat="1">
      <c r="G90" s="7" t="s">
        <v>56</v>
      </c>
      <c r="H90" s="6" t="s">
        <v>144</v>
      </c>
      <c r="BZ90" s="21"/>
    </row>
    <row r="91" spans="1:137" s="6" customFormat="1">
      <c r="E91" s="2"/>
      <c r="F91" s="255" t="s">
        <v>58</v>
      </c>
      <c r="G91" s="255"/>
      <c r="H91" s="2" t="s">
        <v>334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Z91" s="21"/>
    </row>
    <row r="92" spans="1:137" s="6" customFormat="1" ht="22.5" customHeight="1">
      <c r="E92" s="256" t="s">
        <v>335</v>
      </c>
      <c r="F92" s="256"/>
      <c r="G92" s="256"/>
      <c r="H92" s="257" t="s">
        <v>339</v>
      </c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57"/>
      <c r="AP92" s="257"/>
      <c r="AQ92" s="257"/>
      <c r="AR92" s="257"/>
      <c r="AS92" s="257"/>
      <c r="AT92" s="257"/>
      <c r="AU92" s="257"/>
      <c r="AV92" s="257"/>
      <c r="AW92" s="257"/>
      <c r="AX92" s="257"/>
      <c r="AY92" s="257"/>
      <c r="AZ92" s="257"/>
      <c r="BA92" s="257"/>
      <c r="BB92" s="257"/>
      <c r="BC92" s="257"/>
      <c r="BD92" s="257"/>
      <c r="BE92" s="257"/>
      <c r="BF92" s="257"/>
      <c r="BG92" s="257"/>
      <c r="BH92" s="257"/>
      <c r="BI92" s="257"/>
      <c r="BJ92" s="257"/>
      <c r="BK92" s="257"/>
      <c r="BL92" s="257"/>
      <c r="BM92" s="257"/>
      <c r="BN92" s="257"/>
      <c r="BO92" s="257"/>
      <c r="BP92" s="257"/>
      <c r="BQ92" s="257"/>
      <c r="BR92" s="257"/>
      <c r="BS92" s="257"/>
      <c r="BT92" s="257"/>
      <c r="BU92" s="257"/>
      <c r="BV92" s="257"/>
      <c r="BW92" s="257"/>
      <c r="BX92" s="257"/>
      <c r="BY92" s="257"/>
      <c r="BZ92" s="257"/>
      <c r="CA92" s="257"/>
      <c r="CB92" s="257"/>
      <c r="CC92" s="257"/>
      <c r="CD92" s="257"/>
      <c r="CE92" s="257"/>
      <c r="CF92" s="257"/>
      <c r="CG92" s="257"/>
      <c r="CH92" s="257"/>
      <c r="CI92" s="257"/>
      <c r="CJ92" s="257"/>
      <c r="CK92" s="257"/>
      <c r="CL92" s="257"/>
      <c r="CM92" s="257"/>
      <c r="CN92" s="257"/>
      <c r="CO92" s="257"/>
      <c r="CP92" s="257"/>
      <c r="CQ92" s="257"/>
      <c r="CR92" s="257"/>
      <c r="CS92" s="257"/>
      <c r="CT92" s="257"/>
      <c r="CU92" s="257"/>
      <c r="CV92" s="257"/>
      <c r="CW92" s="257"/>
      <c r="CX92" s="257"/>
      <c r="CY92" s="257"/>
      <c r="CZ92" s="257"/>
      <c r="DA92" s="257"/>
    </row>
    <row r="93" spans="1:137" s="6" customFormat="1" ht="18.75" customHeight="1">
      <c r="E93" s="56"/>
      <c r="F93" s="56"/>
      <c r="G93" s="56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Z93" s="21"/>
    </row>
    <row r="94" spans="1:137">
      <c r="F94" s="2" t="s">
        <v>155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</row>
    <row r="97" spans="1:44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</row>
    <row r="98" spans="1:44">
      <c r="A98" s="128" t="s">
        <v>153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</row>
    <row r="99" spans="1:44">
      <c r="A99" s="128" t="s">
        <v>154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</row>
  </sheetData>
  <mergeCells count="554">
    <mergeCell ref="A76:G76"/>
    <mergeCell ref="H76:BK76"/>
    <mergeCell ref="BL76:BY76"/>
    <mergeCell ref="BZ76:CM76"/>
    <mergeCell ref="CN76:DA76"/>
    <mergeCell ref="DB76:DO76"/>
    <mergeCell ref="DP76:EC76"/>
    <mergeCell ref="F91:G91"/>
    <mergeCell ref="E92:G92"/>
    <mergeCell ref="H92:DA92"/>
    <mergeCell ref="BZ81:CM81"/>
    <mergeCell ref="CN81:DA81"/>
    <mergeCell ref="DB81:DO81"/>
    <mergeCell ref="DP81:EC81"/>
    <mergeCell ref="A77:G77"/>
    <mergeCell ref="H77:BK77"/>
    <mergeCell ref="BL77:BY77"/>
    <mergeCell ref="BZ77:CM77"/>
    <mergeCell ref="CN77:DA77"/>
    <mergeCell ref="DB77:DO77"/>
    <mergeCell ref="DP77:EC77"/>
    <mergeCell ref="A80:G80"/>
    <mergeCell ref="H80:BK80"/>
    <mergeCell ref="BL80:BY80"/>
    <mergeCell ref="BZ80:CM80"/>
    <mergeCell ref="CN80:DA80"/>
    <mergeCell ref="DB80:DO80"/>
    <mergeCell ref="DP80:EC80"/>
    <mergeCell ref="A81:G81"/>
    <mergeCell ref="H81:BK81"/>
    <mergeCell ref="BL81:BY81"/>
    <mergeCell ref="A78:G78"/>
    <mergeCell ref="H78:BK78"/>
    <mergeCell ref="BL78:BY78"/>
    <mergeCell ref="BZ78:CM78"/>
    <mergeCell ref="CN78:DA78"/>
    <mergeCell ref="DB78:DO78"/>
    <mergeCell ref="DP78:EC78"/>
    <mergeCell ref="A79:G79"/>
    <mergeCell ref="H79:BK79"/>
    <mergeCell ref="BL79:BY79"/>
    <mergeCell ref="BZ79:CM79"/>
    <mergeCell ref="CN79:DA79"/>
    <mergeCell ref="DB79:DO79"/>
    <mergeCell ref="DP79:EC79"/>
    <mergeCell ref="DP89:EC89"/>
    <mergeCell ref="A98:AR98"/>
    <mergeCell ref="A99:AR99"/>
    <mergeCell ref="A89:G89"/>
    <mergeCell ref="H89:BK89"/>
    <mergeCell ref="BL89:BY89"/>
    <mergeCell ref="BZ89:CM89"/>
    <mergeCell ref="CN89:DA89"/>
    <mergeCell ref="DB89:DO89"/>
    <mergeCell ref="DP87:EC87"/>
    <mergeCell ref="A88:G88"/>
    <mergeCell ref="H88:BK88"/>
    <mergeCell ref="BL88:BY88"/>
    <mergeCell ref="BZ88:CM88"/>
    <mergeCell ref="CN88:DA88"/>
    <mergeCell ref="DB88:DO88"/>
    <mergeCell ref="DP88:EC88"/>
    <mergeCell ref="A87:G87"/>
    <mergeCell ref="H87:BK87"/>
    <mergeCell ref="BL87:BY87"/>
    <mergeCell ref="BZ87:CM87"/>
    <mergeCell ref="CN87:DA87"/>
    <mergeCell ref="DB87:DO87"/>
    <mergeCell ref="DP84:EC84"/>
    <mergeCell ref="A86:G86"/>
    <mergeCell ref="H86:BK86"/>
    <mergeCell ref="BL86:BY86"/>
    <mergeCell ref="BZ86:CM86"/>
    <mergeCell ref="CN86:DA86"/>
    <mergeCell ref="DB86:DO86"/>
    <mergeCell ref="DP86:EC86"/>
    <mergeCell ref="A84:G84"/>
    <mergeCell ref="H84:BK84"/>
    <mergeCell ref="BL84:BY84"/>
    <mergeCell ref="BZ84:CM84"/>
    <mergeCell ref="CN84:DA84"/>
    <mergeCell ref="DB84:DO84"/>
    <mergeCell ref="DP82:EC82"/>
    <mergeCell ref="A83:G83"/>
    <mergeCell ref="H83:BK83"/>
    <mergeCell ref="BL83:BY83"/>
    <mergeCell ref="BZ83:CM83"/>
    <mergeCell ref="CN83:DA83"/>
    <mergeCell ref="DB83:DO83"/>
    <mergeCell ref="DP83:EC83"/>
    <mergeCell ref="A82:G82"/>
    <mergeCell ref="H82:BK82"/>
    <mergeCell ref="BL82:BY82"/>
    <mergeCell ref="BZ82:CM82"/>
    <mergeCell ref="CN82:DA82"/>
    <mergeCell ref="DB82:DO82"/>
    <mergeCell ref="DP74:EC74"/>
    <mergeCell ref="A75:G75"/>
    <mergeCell ref="H75:BK75"/>
    <mergeCell ref="BL75:BY75"/>
    <mergeCell ref="BZ75:CM75"/>
    <mergeCell ref="CN75:DA75"/>
    <mergeCell ref="DB75:DO75"/>
    <mergeCell ref="DP75:EC75"/>
    <mergeCell ref="A74:G74"/>
    <mergeCell ref="H74:BK74"/>
    <mergeCell ref="BL74:BY74"/>
    <mergeCell ref="BZ74:CM74"/>
    <mergeCell ref="CN74:DA74"/>
    <mergeCell ref="DB74:DO74"/>
    <mergeCell ref="DP72:EC72"/>
    <mergeCell ref="A73:G73"/>
    <mergeCell ref="H73:BK73"/>
    <mergeCell ref="BL73:BY73"/>
    <mergeCell ref="BZ73:CM73"/>
    <mergeCell ref="CN73:DA73"/>
    <mergeCell ref="DB73:DO73"/>
    <mergeCell ref="DP73:EC73"/>
    <mergeCell ref="A72:G72"/>
    <mergeCell ref="H72:BK72"/>
    <mergeCell ref="BL72:BY72"/>
    <mergeCell ref="BZ72:CM72"/>
    <mergeCell ref="CN72:DA72"/>
    <mergeCell ref="DB72:DO72"/>
    <mergeCell ref="DP70:EC70"/>
    <mergeCell ref="A71:G71"/>
    <mergeCell ref="H71:BK71"/>
    <mergeCell ref="BL71:BY71"/>
    <mergeCell ref="BZ71:CM71"/>
    <mergeCell ref="CN71:DA71"/>
    <mergeCell ref="DB71:DO71"/>
    <mergeCell ref="DP71:EC71"/>
    <mergeCell ref="A70:G70"/>
    <mergeCell ref="H70:BK70"/>
    <mergeCell ref="BL70:BY70"/>
    <mergeCell ref="BZ70:CM70"/>
    <mergeCell ref="CN70:DA70"/>
    <mergeCell ref="DB70:DO70"/>
    <mergeCell ref="DP68:EC68"/>
    <mergeCell ref="A69:G69"/>
    <mergeCell ref="H69:BK69"/>
    <mergeCell ref="BL69:BY69"/>
    <mergeCell ref="BZ69:CM69"/>
    <mergeCell ref="CN69:DA69"/>
    <mergeCell ref="DB69:DO69"/>
    <mergeCell ref="DP69:EC69"/>
    <mergeCell ref="A68:G68"/>
    <mergeCell ref="H68:BK68"/>
    <mergeCell ref="BL68:BY68"/>
    <mergeCell ref="BZ68:CM68"/>
    <mergeCell ref="CN68:DA68"/>
    <mergeCell ref="DB68:DO68"/>
    <mergeCell ref="DP66:EC66"/>
    <mergeCell ref="A67:G67"/>
    <mergeCell ref="H67:BK67"/>
    <mergeCell ref="BL67:BY67"/>
    <mergeCell ref="BZ67:CM67"/>
    <mergeCell ref="CN67:DA67"/>
    <mergeCell ref="DB67:DO67"/>
    <mergeCell ref="DP67:EC67"/>
    <mergeCell ref="A66:G66"/>
    <mergeCell ref="H66:BK66"/>
    <mergeCell ref="BL66:BY66"/>
    <mergeCell ref="BZ66:CM66"/>
    <mergeCell ref="CN66:DA66"/>
    <mergeCell ref="DB66:DO66"/>
    <mergeCell ref="DP64:EC64"/>
    <mergeCell ref="A65:G65"/>
    <mergeCell ref="H65:BK65"/>
    <mergeCell ref="BL65:BY65"/>
    <mergeCell ref="BZ65:CM65"/>
    <mergeCell ref="CN65:DA65"/>
    <mergeCell ref="DB65:DO65"/>
    <mergeCell ref="DP65:EC65"/>
    <mergeCell ref="A64:G64"/>
    <mergeCell ref="H64:BK64"/>
    <mergeCell ref="BL64:BY64"/>
    <mergeCell ref="BZ64:CM64"/>
    <mergeCell ref="CN64:DA64"/>
    <mergeCell ref="DB64:DO64"/>
    <mergeCell ref="DP62:EC62"/>
    <mergeCell ref="A63:G63"/>
    <mergeCell ref="H63:BK63"/>
    <mergeCell ref="BL63:BY63"/>
    <mergeCell ref="BZ63:CM63"/>
    <mergeCell ref="CN63:DA63"/>
    <mergeCell ref="DB63:DO63"/>
    <mergeCell ref="DP63:EC63"/>
    <mergeCell ref="A62:G62"/>
    <mergeCell ref="H62:BK62"/>
    <mergeCell ref="BL62:BY62"/>
    <mergeCell ref="BZ62:CM62"/>
    <mergeCell ref="CN62:DA62"/>
    <mergeCell ref="DB62:DO62"/>
    <mergeCell ref="DP60:EC60"/>
    <mergeCell ref="A61:G61"/>
    <mergeCell ref="H61:BK61"/>
    <mergeCell ref="BL61:BY61"/>
    <mergeCell ref="BZ61:CM61"/>
    <mergeCell ref="CN61:DA61"/>
    <mergeCell ref="DB61:DO61"/>
    <mergeCell ref="DP61:EC61"/>
    <mergeCell ref="A60:G60"/>
    <mergeCell ref="H60:BK60"/>
    <mergeCell ref="BL60:BY60"/>
    <mergeCell ref="BZ60:CM60"/>
    <mergeCell ref="CN60:DA60"/>
    <mergeCell ref="DB60:DO60"/>
    <mergeCell ref="DP58:EC58"/>
    <mergeCell ref="A59:G59"/>
    <mergeCell ref="H59:BK59"/>
    <mergeCell ref="BL59:BY59"/>
    <mergeCell ref="BZ59:CM59"/>
    <mergeCell ref="CN59:DA59"/>
    <mergeCell ref="DB59:DO59"/>
    <mergeCell ref="DP59:EC59"/>
    <mergeCell ref="A58:G58"/>
    <mergeCell ref="H58:BK58"/>
    <mergeCell ref="BL58:BY58"/>
    <mergeCell ref="BZ58:CM58"/>
    <mergeCell ref="CN58:DA58"/>
    <mergeCell ref="DB58:DO58"/>
    <mergeCell ref="DP56:EC56"/>
    <mergeCell ref="A57:G57"/>
    <mergeCell ref="H57:BK57"/>
    <mergeCell ref="BL57:BY57"/>
    <mergeCell ref="BZ57:CM57"/>
    <mergeCell ref="CN57:DA57"/>
    <mergeCell ref="DB57:DO57"/>
    <mergeCell ref="DP57:EC57"/>
    <mergeCell ref="A56:G56"/>
    <mergeCell ref="H56:BK56"/>
    <mergeCell ref="BL56:BY56"/>
    <mergeCell ref="BZ56:CM56"/>
    <mergeCell ref="CN56:DA56"/>
    <mergeCell ref="DB56:DO56"/>
    <mergeCell ref="DP54:EC54"/>
    <mergeCell ref="A55:G55"/>
    <mergeCell ref="H55:BK55"/>
    <mergeCell ref="BL55:BY55"/>
    <mergeCell ref="BZ55:CM55"/>
    <mergeCell ref="CN55:DA55"/>
    <mergeCell ref="DB55:DO55"/>
    <mergeCell ref="DP55:EC55"/>
    <mergeCell ref="A54:G54"/>
    <mergeCell ref="H54:BK54"/>
    <mergeCell ref="BL54:BY54"/>
    <mergeCell ref="BZ54:CM54"/>
    <mergeCell ref="CN54:DA54"/>
    <mergeCell ref="DB54:DO54"/>
    <mergeCell ref="DP52:EC52"/>
    <mergeCell ref="A53:G53"/>
    <mergeCell ref="H53:BK53"/>
    <mergeCell ref="BL53:BY53"/>
    <mergeCell ref="BZ53:CM53"/>
    <mergeCell ref="CN53:DA53"/>
    <mergeCell ref="DB53:DO53"/>
    <mergeCell ref="DP53:EC53"/>
    <mergeCell ref="A52:G52"/>
    <mergeCell ref="H52:BK52"/>
    <mergeCell ref="BL52:BY52"/>
    <mergeCell ref="BZ52:CM52"/>
    <mergeCell ref="CN52:DA52"/>
    <mergeCell ref="DB52:DO52"/>
    <mergeCell ref="DP50:EC50"/>
    <mergeCell ref="A51:G51"/>
    <mergeCell ref="H51:BK51"/>
    <mergeCell ref="BL51:BY51"/>
    <mergeCell ref="BZ51:CM51"/>
    <mergeCell ref="CN51:DA51"/>
    <mergeCell ref="DB51:DO51"/>
    <mergeCell ref="DP51:EC51"/>
    <mergeCell ref="A50:G50"/>
    <mergeCell ref="H50:BK50"/>
    <mergeCell ref="BL50:BY50"/>
    <mergeCell ref="BZ50:CM50"/>
    <mergeCell ref="CN50:DA50"/>
    <mergeCell ref="DB50:DO50"/>
    <mergeCell ref="DP48:EC48"/>
    <mergeCell ref="A49:G49"/>
    <mergeCell ref="H49:BK49"/>
    <mergeCell ref="BL49:BY49"/>
    <mergeCell ref="BZ49:CM49"/>
    <mergeCell ref="CN49:DA49"/>
    <mergeCell ref="DB49:DO49"/>
    <mergeCell ref="DP49:EC49"/>
    <mergeCell ref="A48:G48"/>
    <mergeCell ref="H48:BK48"/>
    <mergeCell ref="BL48:BY48"/>
    <mergeCell ref="BZ48:CM48"/>
    <mergeCell ref="CN48:DA48"/>
    <mergeCell ref="DB48:DO48"/>
    <mergeCell ref="DP46:EC46"/>
    <mergeCell ref="A47:G47"/>
    <mergeCell ref="H47:BK47"/>
    <mergeCell ref="BL47:BY47"/>
    <mergeCell ref="BZ47:CM47"/>
    <mergeCell ref="CN47:DA47"/>
    <mergeCell ref="DB47:DO47"/>
    <mergeCell ref="DP47:EC47"/>
    <mergeCell ref="A46:G46"/>
    <mergeCell ref="H46:BK46"/>
    <mergeCell ref="BL46:BY46"/>
    <mergeCell ref="BZ46:CM46"/>
    <mergeCell ref="CN46:DA46"/>
    <mergeCell ref="DB46:DO46"/>
    <mergeCell ref="DP44:EC44"/>
    <mergeCell ref="A45:G45"/>
    <mergeCell ref="H45:BK45"/>
    <mergeCell ref="BL45:BY45"/>
    <mergeCell ref="BZ45:CM45"/>
    <mergeCell ref="CN45:DA45"/>
    <mergeCell ref="DB45:DO45"/>
    <mergeCell ref="DP45:EC45"/>
    <mergeCell ref="A44:G44"/>
    <mergeCell ref="H44:BK44"/>
    <mergeCell ref="BL44:BY44"/>
    <mergeCell ref="BZ44:CM44"/>
    <mergeCell ref="CN44:DA44"/>
    <mergeCell ref="DB44:DO44"/>
    <mergeCell ref="DP42:EC42"/>
    <mergeCell ref="A43:G43"/>
    <mergeCell ref="H43:BK43"/>
    <mergeCell ref="BL43:BY43"/>
    <mergeCell ref="BZ43:CM43"/>
    <mergeCell ref="CN43:DA43"/>
    <mergeCell ref="DB43:DO43"/>
    <mergeCell ref="DP43:EC43"/>
    <mergeCell ref="A42:G42"/>
    <mergeCell ref="H42:BK42"/>
    <mergeCell ref="BL42:BY42"/>
    <mergeCell ref="BZ42:CM42"/>
    <mergeCell ref="CN42:DA42"/>
    <mergeCell ref="DB42:DO42"/>
    <mergeCell ref="DP40:EC40"/>
    <mergeCell ref="A41:G41"/>
    <mergeCell ref="H41:BK41"/>
    <mergeCell ref="BL41:BY41"/>
    <mergeCell ref="BZ41:CM41"/>
    <mergeCell ref="CN41:DA41"/>
    <mergeCell ref="DB41:DO41"/>
    <mergeCell ref="DP41:EC41"/>
    <mergeCell ref="A40:G40"/>
    <mergeCell ref="H40:BK40"/>
    <mergeCell ref="BL40:BY40"/>
    <mergeCell ref="BZ40:CM40"/>
    <mergeCell ref="CN40:DA40"/>
    <mergeCell ref="DB40:DO40"/>
    <mergeCell ref="DP38:EC38"/>
    <mergeCell ref="A39:G39"/>
    <mergeCell ref="H39:BK39"/>
    <mergeCell ref="BL39:BY39"/>
    <mergeCell ref="BZ39:CM39"/>
    <mergeCell ref="CN39:DA39"/>
    <mergeCell ref="DB39:DO39"/>
    <mergeCell ref="DP39:EC39"/>
    <mergeCell ref="A38:G38"/>
    <mergeCell ref="H38:BK38"/>
    <mergeCell ref="BL38:BY38"/>
    <mergeCell ref="BZ38:CM38"/>
    <mergeCell ref="CN38:DA38"/>
    <mergeCell ref="DB38:DO38"/>
    <mergeCell ref="DP36:EC36"/>
    <mergeCell ref="A37:G37"/>
    <mergeCell ref="H37:BK37"/>
    <mergeCell ref="BL37:BY37"/>
    <mergeCell ref="BZ37:CM37"/>
    <mergeCell ref="CN37:DA37"/>
    <mergeCell ref="DB37:DO37"/>
    <mergeCell ref="DP37:EC37"/>
    <mergeCell ref="A36:G36"/>
    <mergeCell ref="H36:BK36"/>
    <mergeCell ref="BL36:BY36"/>
    <mergeCell ref="BZ36:CM36"/>
    <mergeCell ref="CN36:DA36"/>
    <mergeCell ref="DB36:DO36"/>
    <mergeCell ref="DP34:EC34"/>
    <mergeCell ref="A35:G35"/>
    <mergeCell ref="H35:BK35"/>
    <mergeCell ref="BL35:BY35"/>
    <mergeCell ref="BZ35:CM35"/>
    <mergeCell ref="CN35:DA35"/>
    <mergeCell ref="DB35:DO35"/>
    <mergeCell ref="DP35:EC35"/>
    <mergeCell ref="A34:G34"/>
    <mergeCell ref="H34:BK34"/>
    <mergeCell ref="BL34:BY34"/>
    <mergeCell ref="BZ34:CM34"/>
    <mergeCell ref="CN34:DA34"/>
    <mergeCell ref="DB34:DO34"/>
    <mergeCell ref="DP32:EC32"/>
    <mergeCell ref="A33:G33"/>
    <mergeCell ref="H33:BK33"/>
    <mergeCell ref="BL33:BY33"/>
    <mergeCell ref="BZ33:CM33"/>
    <mergeCell ref="CN33:DA33"/>
    <mergeCell ref="DB33:DO33"/>
    <mergeCell ref="DP33:EC33"/>
    <mergeCell ref="A32:G32"/>
    <mergeCell ref="H32:BK32"/>
    <mergeCell ref="BL32:BY32"/>
    <mergeCell ref="BZ32:CM32"/>
    <mergeCell ref="CN32:DA32"/>
    <mergeCell ref="DB32:DO32"/>
    <mergeCell ref="DP30:EC30"/>
    <mergeCell ref="A31:G31"/>
    <mergeCell ref="H31:BK31"/>
    <mergeCell ref="BL31:BY31"/>
    <mergeCell ref="BZ31:CM31"/>
    <mergeCell ref="CN31:DA31"/>
    <mergeCell ref="DB31:DO31"/>
    <mergeCell ref="DP31:EC31"/>
    <mergeCell ref="A30:G30"/>
    <mergeCell ref="H30:BK30"/>
    <mergeCell ref="BL30:BY30"/>
    <mergeCell ref="BZ30:CM30"/>
    <mergeCell ref="CN30:DA30"/>
    <mergeCell ref="DB30:DO30"/>
    <mergeCell ref="DP28:EC28"/>
    <mergeCell ref="A29:G29"/>
    <mergeCell ref="H29:BK29"/>
    <mergeCell ref="BL29:BY29"/>
    <mergeCell ref="BZ29:CM29"/>
    <mergeCell ref="CN29:DA29"/>
    <mergeCell ref="DB29:DO29"/>
    <mergeCell ref="DP29:EC29"/>
    <mergeCell ref="A28:G28"/>
    <mergeCell ref="H28:BK28"/>
    <mergeCell ref="BL28:BY28"/>
    <mergeCell ref="BZ28:CM28"/>
    <mergeCell ref="CN28:DA28"/>
    <mergeCell ref="DB28:DO28"/>
    <mergeCell ref="DP26:EC26"/>
    <mergeCell ref="A27:G27"/>
    <mergeCell ref="H27:BK27"/>
    <mergeCell ref="BL27:BY27"/>
    <mergeCell ref="BZ27:CM27"/>
    <mergeCell ref="CN27:DA27"/>
    <mergeCell ref="DB27:DO27"/>
    <mergeCell ref="DP27:EC27"/>
    <mergeCell ref="A26:G26"/>
    <mergeCell ref="H26:BK26"/>
    <mergeCell ref="BL26:BY26"/>
    <mergeCell ref="BZ26:CM26"/>
    <mergeCell ref="CN26:DA26"/>
    <mergeCell ref="DB26:DO26"/>
    <mergeCell ref="DP24:EC24"/>
    <mergeCell ref="A25:G25"/>
    <mergeCell ref="H25:BK25"/>
    <mergeCell ref="BL25:BY25"/>
    <mergeCell ref="BZ25:CM25"/>
    <mergeCell ref="CN25:DA25"/>
    <mergeCell ref="DB25:DO25"/>
    <mergeCell ref="DP25:EC25"/>
    <mergeCell ref="A24:G24"/>
    <mergeCell ref="H24:BK24"/>
    <mergeCell ref="BL24:BY24"/>
    <mergeCell ref="BZ24:CM24"/>
    <mergeCell ref="CN24:DA24"/>
    <mergeCell ref="DB24:DO24"/>
    <mergeCell ref="DP22:EC22"/>
    <mergeCell ref="A23:G23"/>
    <mergeCell ref="H23:BK23"/>
    <mergeCell ref="BL23:BY23"/>
    <mergeCell ref="BZ23:CM23"/>
    <mergeCell ref="CN23:DA23"/>
    <mergeCell ref="DB23:DO23"/>
    <mergeCell ref="DP23:EC23"/>
    <mergeCell ref="A22:G22"/>
    <mergeCell ref="H22:BK22"/>
    <mergeCell ref="BL22:BY22"/>
    <mergeCell ref="BZ22:CM22"/>
    <mergeCell ref="CN22:DA22"/>
    <mergeCell ref="DB22:DO22"/>
    <mergeCell ref="DP20:EC20"/>
    <mergeCell ref="A21:G21"/>
    <mergeCell ref="H21:BK21"/>
    <mergeCell ref="BL21:BY21"/>
    <mergeCell ref="BZ21:CM21"/>
    <mergeCell ref="CN21:DA21"/>
    <mergeCell ref="DB21:DO21"/>
    <mergeCell ref="DP21:EC21"/>
    <mergeCell ref="A20:G20"/>
    <mergeCell ref="H20:BK20"/>
    <mergeCell ref="BL20:BY20"/>
    <mergeCell ref="BZ20:CM20"/>
    <mergeCell ref="CN20:DA20"/>
    <mergeCell ref="DB20:DO20"/>
    <mergeCell ref="DP18:EC18"/>
    <mergeCell ref="A19:G19"/>
    <mergeCell ref="H19:BK19"/>
    <mergeCell ref="BL19:BY19"/>
    <mergeCell ref="BZ19:CM19"/>
    <mergeCell ref="CN19:DA19"/>
    <mergeCell ref="DB19:DO19"/>
    <mergeCell ref="DP19:EC19"/>
    <mergeCell ref="A18:G18"/>
    <mergeCell ref="H18:BK18"/>
    <mergeCell ref="BL18:BY18"/>
    <mergeCell ref="BZ18:CM18"/>
    <mergeCell ref="CN18:DA18"/>
    <mergeCell ref="DB18:DO18"/>
    <mergeCell ref="DP16:EC16"/>
    <mergeCell ref="A17:G17"/>
    <mergeCell ref="H17:BK17"/>
    <mergeCell ref="BL17:BY17"/>
    <mergeCell ref="BZ17:CM17"/>
    <mergeCell ref="CN17:DA17"/>
    <mergeCell ref="DB17:DO17"/>
    <mergeCell ref="DP17:EC17"/>
    <mergeCell ref="A16:G16"/>
    <mergeCell ref="H16:BK16"/>
    <mergeCell ref="BL16:BY16"/>
    <mergeCell ref="BZ16:CM16"/>
    <mergeCell ref="CN16:DA16"/>
    <mergeCell ref="DB16:DO16"/>
    <mergeCell ref="DP14:EC14"/>
    <mergeCell ref="A15:G15"/>
    <mergeCell ref="H15:BK15"/>
    <mergeCell ref="BL15:BY15"/>
    <mergeCell ref="BZ15:CM15"/>
    <mergeCell ref="CN15:DA15"/>
    <mergeCell ref="DB15:DO15"/>
    <mergeCell ref="DP15:EC15"/>
    <mergeCell ref="A14:G14"/>
    <mergeCell ref="H14:BK14"/>
    <mergeCell ref="BL14:BY14"/>
    <mergeCell ref="BZ14:CM14"/>
    <mergeCell ref="CN14:DA14"/>
    <mergeCell ref="DB14:DO14"/>
    <mergeCell ref="DP12:EC12"/>
    <mergeCell ref="BL13:BY13"/>
    <mergeCell ref="BZ13:CM13"/>
    <mergeCell ref="CN13:DA13"/>
    <mergeCell ref="DB13:DO13"/>
    <mergeCell ref="DP13:EC13"/>
    <mergeCell ref="A12:G13"/>
    <mergeCell ref="H12:BK13"/>
    <mergeCell ref="BL12:BY12"/>
    <mergeCell ref="BZ12:CM12"/>
    <mergeCell ref="CN12:DA12"/>
    <mergeCell ref="DB12:DO12"/>
    <mergeCell ref="A7:AP7"/>
    <mergeCell ref="CO7:EC7"/>
    <mergeCell ref="A8:AP8"/>
    <mergeCell ref="CO8:EC8"/>
    <mergeCell ref="A9:AO9"/>
    <mergeCell ref="CO9:EC9"/>
    <mergeCell ref="DE1:EC1"/>
    <mergeCell ref="A3:EC3"/>
    <mergeCell ref="A5:AP5"/>
    <mergeCell ref="CO5:EC5"/>
    <mergeCell ref="A6:AP6"/>
    <mergeCell ref="CO6:E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F52"/>
  <sheetViews>
    <sheetView topLeftCell="A9" workbookViewId="0">
      <selection activeCell="DY15" sqref="DY15"/>
    </sheetView>
  </sheetViews>
  <sheetFormatPr defaultRowHeight="12.75"/>
  <cols>
    <col min="1" max="60" width="0.85546875" style="2" customWidth="1"/>
    <col min="61" max="61" width="3.140625" style="2" customWidth="1"/>
    <col min="62" max="127" width="1.140625" style="2" customWidth="1"/>
    <col min="128" max="16384" width="9.140625" style="2"/>
  </cols>
  <sheetData>
    <row r="1" spans="1:136" ht="38.25" customHeight="1">
      <c r="CN1" s="288" t="s">
        <v>19</v>
      </c>
      <c r="CO1" s="288"/>
      <c r="CP1" s="288"/>
      <c r="CQ1" s="288"/>
      <c r="CR1" s="288"/>
      <c r="CS1" s="288"/>
      <c r="CT1" s="288"/>
      <c r="CU1" s="288"/>
      <c r="CV1" s="288"/>
      <c r="CW1" s="288"/>
      <c r="CX1" s="288"/>
      <c r="CY1" s="288"/>
      <c r="CZ1" s="288"/>
      <c r="DA1" s="288"/>
      <c r="DB1" s="288"/>
      <c r="DC1" s="288"/>
      <c r="DD1" s="288"/>
      <c r="DE1" s="288"/>
      <c r="DF1" s="288"/>
      <c r="DG1" s="288"/>
      <c r="DH1" s="288"/>
      <c r="DI1" s="288"/>
      <c r="DJ1" s="288"/>
      <c r="DK1" s="288"/>
      <c r="DL1" s="288"/>
      <c r="DM1" s="288"/>
      <c r="DN1" s="288"/>
      <c r="DO1" s="288"/>
      <c r="DP1" s="288"/>
      <c r="DQ1" s="288"/>
      <c r="DR1" s="288"/>
      <c r="DS1" s="288"/>
      <c r="DT1" s="288"/>
      <c r="DU1" s="288"/>
      <c r="DV1" s="288"/>
      <c r="DW1" s="58"/>
    </row>
    <row r="3" spans="1:136" s="3" customFormat="1" ht="18.75">
      <c r="A3" s="284" t="s">
        <v>20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</row>
    <row r="4" spans="1:136" ht="30" customHeight="1">
      <c r="CN4" s="131" t="s">
        <v>64</v>
      </c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</row>
    <row r="5" spans="1:136" ht="18.7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CE5" s="15"/>
      <c r="CF5" s="15"/>
      <c r="CG5" s="15"/>
      <c r="CH5" s="15"/>
      <c r="CI5" s="15"/>
      <c r="CJ5" s="15"/>
      <c r="CK5" s="15"/>
      <c r="CL5" s="15"/>
      <c r="CM5" s="15"/>
      <c r="CN5" s="127" t="s">
        <v>145</v>
      </c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9"/>
      <c r="DX5" s="9"/>
      <c r="DY5" s="9"/>
      <c r="DZ5" s="9"/>
      <c r="EA5" s="9"/>
      <c r="EB5" s="9"/>
      <c r="EC5" s="9"/>
      <c r="ED5" s="9"/>
      <c r="EE5" s="9"/>
      <c r="EF5" s="9"/>
    </row>
    <row r="6" spans="1:136" ht="39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CE6" s="16"/>
      <c r="CF6" s="16"/>
      <c r="CG6" s="16"/>
      <c r="CH6" s="16"/>
      <c r="CI6" s="16"/>
      <c r="CJ6" s="16"/>
      <c r="CK6" s="16"/>
      <c r="CL6" s="16"/>
      <c r="CM6" s="16"/>
      <c r="CN6" s="127" t="s">
        <v>157</v>
      </c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"/>
      <c r="DX6" s="1"/>
      <c r="DY6" s="1"/>
      <c r="DZ6" s="1"/>
      <c r="EA6" s="1"/>
      <c r="EB6" s="1"/>
      <c r="EC6" s="1"/>
      <c r="ED6" s="1"/>
      <c r="EE6" s="1"/>
      <c r="EF6" s="1"/>
    </row>
    <row r="7" spans="1:136" ht="30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CE7" s="16"/>
      <c r="CF7" s="16"/>
      <c r="CG7" s="16"/>
      <c r="CH7" s="16"/>
      <c r="CI7" s="16"/>
      <c r="CJ7" s="16"/>
      <c r="CK7" s="16"/>
      <c r="CL7" s="16"/>
      <c r="CM7" s="16"/>
      <c r="CN7" s="127" t="s">
        <v>347</v>
      </c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"/>
      <c r="DX7" s="1"/>
      <c r="DY7" s="1"/>
      <c r="DZ7" s="1"/>
      <c r="EA7" s="1"/>
      <c r="EB7" s="1"/>
      <c r="EC7" s="1"/>
      <c r="ED7" s="1"/>
      <c r="EE7" s="1"/>
      <c r="EF7" s="1"/>
    </row>
    <row r="8" spans="1:136" ht="15.7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CJ8" s="8"/>
      <c r="CK8" s="18"/>
      <c r="CL8" s="18"/>
      <c r="CM8" s="18"/>
      <c r="CN8" s="128" t="s">
        <v>21</v>
      </c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"/>
      <c r="DX8" s="1"/>
      <c r="DY8" s="1"/>
      <c r="DZ8" s="1"/>
      <c r="EA8" s="1"/>
      <c r="EB8" s="1"/>
      <c r="EC8" s="1"/>
      <c r="ED8" s="1"/>
      <c r="EE8" s="1"/>
      <c r="EF8" s="1"/>
    </row>
    <row r="9" spans="1:136" ht="15.7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7"/>
      <c r="CJ9" s="292"/>
      <c r="CK9" s="292"/>
      <c r="CL9" s="19"/>
      <c r="CM9" s="19"/>
      <c r="CN9" s="19"/>
      <c r="CO9" s="293"/>
      <c r="CP9" s="293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17"/>
    </row>
    <row r="10" spans="1:136" ht="15.75"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</row>
    <row r="11" spans="1:136" ht="13.5" thickBot="1"/>
    <row r="12" spans="1:136" ht="40.5" customHeight="1">
      <c r="A12" s="287" t="s">
        <v>22</v>
      </c>
      <c r="B12" s="285"/>
      <c r="C12" s="285"/>
      <c r="D12" s="285"/>
      <c r="E12" s="285"/>
      <c r="F12" s="285"/>
      <c r="G12" s="285"/>
      <c r="H12" s="285"/>
      <c r="I12" s="285"/>
      <c r="J12" s="285" t="s">
        <v>23</v>
      </c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 t="s">
        <v>370</v>
      </c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 t="s">
        <v>372</v>
      </c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 t="s">
        <v>348</v>
      </c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 t="s">
        <v>60</v>
      </c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 t="s">
        <v>61</v>
      </c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 t="s">
        <v>62</v>
      </c>
      <c r="DN12" s="285"/>
      <c r="DO12" s="285"/>
      <c r="DP12" s="285"/>
      <c r="DQ12" s="285"/>
      <c r="DR12" s="285"/>
      <c r="DS12" s="285"/>
      <c r="DT12" s="285"/>
      <c r="DU12" s="285"/>
      <c r="DV12" s="285"/>
      <c r="DW12" s="285"/>
    </row>
    <row r="13" spans="1:136" s="4" customFormat="1" ht="24.95" customHeight="1">
      <c r="A13" s="276" t="s">
        <v>1</v>
      </c>
      <c r="B13" s="277"/>
      <c r="C13" s="277"/>
      <c r="D13" s="277"/>
      <c r="E13" s="277"/>
      <c r="F13" s="277"/>
      <c r="G13" s="277"/>
      <c r="H13" s="277"/>
      <c r="I13" s="277"/>
      <c r="J13" s="278" t="s">
        <v>342</v>
      </c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9">
        <f>BJ14+BJ21+BJ25+BJ26</f>
        <v>35.983879999999999</v>
      </c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79">
        <f>BU14+BU21+BU25+BU26</f>
        <v>50.214880000000001</v>
      </c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79">
        <f>CF14+CF21+CF25+CF26</f>
        <v>23.268435199999999</v>
      </c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79">
        <f>CQ14+CQ21+CQ25+CQ26</f>
        <v>31.299621478399999</v>
      </c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79">
        <f>DB14+DB21+DB25+DB26</f>
        <v>34.210362959014397</v>
      </c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79">
        <f>DM14+DM21+DM25+DM26</f>
        <v>32.653777477374973</v>
      </c>
      <c r="DN13" s="286"/>
      <c r="DO13" s="286"/>
      <c r="DP13" s="286"/>
      <c r="DQ13" s="286"/>
      <c r="DR13" s="286"/>
      <c r="DS13" s="286"/>
      <c r="DT13" s="286"/>
      <c r="DU13" s="286"/>
      <c r="DV13" s="286"/>
      <c r="DW13" s="286"/>
      <c r="DX13" s="10"/>
    </row>
    <row r="14" spans="1:136" s="4" customFormat="1" ht="24.95" customHeight="1">
      <c r="A14" s="276" t="s">
        <v>2</v>
      </c>
      <c r="B14" s="277"/>
      <c r="C14" s="277"/>
      <c r="D14" s="277"/>
      <c r="E14" s="277"/>
      <c r="F14" s="277"/>
      <c r="G14" s="277"/>
      <c r="H14" s="277"/>
      <c r="I14" s="277"/>
      <c r="J14" s="278" t="s">
        <v>24</v>
      </c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80">
        <f>BJ15+BJ16+BJ17+BJ20</f>
        <v>20.782879999999999</v>
      </c>
      <c r="BK14" s="281"/>
      <c r="BL14" s="281"/>
      <c r="BM14" s="281"/>
      <c r="BN14" s="281"/>
      <c r="BO14" s="281"/>
      <c r="BP14" s="281"/>
      <c r="BQ14" s="281"/>
      <c r="BR14" s="281"/>
      <c r="BS14" s="281"/>
      <c r="BT14" s="282"/>
      <c r="BU14" s="280">
        <f>BU15+BU16+BU17+BU20</f>
        <v>32.837879999999998</v>
      </c>
      <c r="BV14" s="281"/>
      <c r="BW14" s="281"/>
      <c r="BX14" s="281"/>
      <c r="BY14" s="281"/>
      <c r="BZ14" s="281"/>
      <c r="CA14" s="281"/>
      <c r="CB14" s="281"/>
      <c r="CC14" s="281"/>
      <c r="CD14" s="281"/>
      <c r="CE14" s="282"/>
      <c r="CF14" s="280">
        <f t="shared" ref="CF14" si="0">CF15+CF16+CF17+CF20</f>
        <v>17.903435200000001</v>
      </c>
      <c r="CG14" s="281"/>
      <c r="CH14" s="281"/>
      <c r="CI14" s="281"/>
      <c r="CJ14" s="281"/>
      <c r="CK14" s="281"/>
      <c r="CL14" s="281"/>
      <c r="CM14" s="281"/>
      <c r="CN14" s="281"/>
      <c r="CO14" s="281"/>
      <c r="CP14" s="282"/>
      <c r="CQ14" s="280">
        <f t="shared" ref="CQ14" si="1">CQ15+CQ16+CQ17+CQ20</f>
        <v>24.708621478400001</v>
      </c>
      <c r="CR14" s="281"/>
      <c r="CS14" s="281"/>
      <c r="CT14" s="281"/>
      <c r="CU14" s="281"/>
      <c r="CV14" s="281"/>
      <c r="CW14" s="281"/>
      <c r="CX14" s="281"/>
      <c r="CY14" s="281"/>
      <c r="CZ14" s="281"/>
      <c r="DA14" s="282"/>
      <c r="DB14" s="280">
        <f t="shared" ref="DB14" si="2">DB15+DB16+DB17+DB20</f>
        <v>27.176362959014398</v>
      </c>
      <c r="DC14" s="281"/>
      <c r="DD14" s="281"/>
      <c r="DE14" s="281"/>
      <c r="DF14" s="281"/>
      <c r="DG14" s="281"/>
      <c r="DH14" s="281"/>
      <c r="DI14" s="281"/>
      <c r="DJ14" s="281"/>
      <c r="DK14" s="281"/>
      <c r="DL14" s="282"/>
      <c r="DM14" s="280">
        <f t="shared" ref="DM14" si="3">DM15+DM16+DM17+DM20</f>
        <v>25.856777477374976</v>
      </c>
      <c r="DN14" s="281"/>
      <c r="DO14" s="281"/>
      <c r="DP14" s="281"/>
      <c r="DQ14" s="281"/>
      <c r="DR14" s="281"/>
      <c r="DS14" s="281"/>
      <c r="DT14" s="281"/>
      <c r="DU14" s="281"/>
      <c r="DV14" s="281"/>
      <c r="DW14" s="282"/>
      <c r="DX14" s="10"/>
    </row>
    <row r="15" spans="1:136" s="4" customFormat="1" ht="24.95" customHeight="1">
      <c r="A15" s="221" t="s">
        <v>7</v>
      </c>
      <c r="B15" s="222"/>
      <c r="C15" s="222"/>
      <c r="D15" s="222"/>
      <c r="E15" s="222"/>
      <c r="F15" s="222"/>
      <c r="G15" s="222"/>
      <c r="H15" s="222"/>
      <c r="I15" s="222"/>
      <c r="J15" s="266" t="s">
        <v>343</v>
      </c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172">
        <f>14.797*1.04</f>
        <v>15.38888</v>
      </c>
      <c r="BK15" s="173"/>
      <c r="BL15" s="173"/>
      <c r="BM15" s="173"/>
      <c r="BN15" s="173"/>
      <c r="BO15" s="173"/>
      <c r="BP15" s="173"/>
      <c r="BQ15" s="173"/>
      <c r="BR15" s="173"/>
      <c r="BS15" s="173"/>
      <c r="BT15" s="174"/>
      <c r="BU15" s="172">
        <f>14.797*1.04</f>
        <v>15.38888</v>
      </c>
      <c r="BV15" s="173"/>
      <c r="BW15" s="173"/>
      <c r="BX15" s="173"/>
      <c r="BY15" s="173"/>
      <c r="BZ15" s="173"/>
      <c r="CA15" s="173"/>
      <c r="CB15" s="173"/>
      <c r="CC15" s="173"/>
      <c r="CD15" s="173"/>
      <c r="CE15" s="174"/>
      <c r="CF15" s="172">
        <f>BU15*1.04</f>
        <v>16.0044352</v>
      </c>
      <c r="CG15" s="173"/>
      <c r="CH15" s="173"/>
      <c r="CI15" s="173"/>
      <c r="CJ15" s="173"/>
      <c r="CK15" s="173"/>
      <c r="CL15" s="173"/>
      <c r="CM15" s="173"/>
      <c r="CN15" s="173"/>
      <c r="CO15" s="173"/>
      <c r="CP15" s="174"/>
      <c r="CQ15" s="172">
        <f>CF15*1.042</f>
        <v>16.676621478400001</v>
      </c>
      <c r="CR15" s="173"/>
      <c r="CS15" s="173"/>
      <c r="CT15" s="173"/>
      <c r="CU15" s="173"/>
      <c r="CV15" s="173"/>
      <c r="CW15" s="173"/>
      <c r="CX15" s="173"/>
      <c r="CY15" s="173"/>
      <c r="CZ15" s="173"/>
      <c r="DA15" s="174"/>
      <c r="DB15" s="172">
        <f>CQ15*1.041</f>
        <v>17.360362959014399</v>
      </c>
      <c r="DC15" s="173"/>
      <c r="DD15" s="173"/>
      <c r="DE15" s="173"/>
      <c r="DF15" s="173"/>
      <c r="DG15" s="173"/>
      <c r="DH15" s="173"/>
      <c r="DI15" s="173"/>
      <c r="DJ15" s="173"/>
      <c r="DK15" s="173"/>
      <c r="DL15" s="174"/>
      <c r="DM15" s="172">
        <f>DB15*1.04</f>
        <v>18.054777477374977</v>
      </c>
      <c r="DN15" s="173"/>
      <c r="DO15" s="173"/>
      <c r="DP15" s="173"/>
      <c r="DQ15" s="173"/>
      <c r="DR15" s="173"/>
      <c r="DS15" s="173"/>
      <c r="DT15" s="173"/>
      <c r="DU15" s="173"/>
      <c r="DV15" s="173"/>
      <c r="DW15" s="174"/>
    </row>
    <row r="16" spans="1:136" s="4" customFormat="1" ht="24.95" customHeight="1">
      <c r="A16" s="221" t="s">
        <v>25</v>
      </c>
      <c r="B16" s="222"/>
      <c r="C16" s="222"/>
      <c r="D16" s="222"/>
      <c r="E16" s="222"/>
      <c r="F16" s="222"/>
      <c r="G16" s="222"/>
      <c r="H16" s="222"/>
      <c r="I16" s="222"/>
      <c r="J16" s="266" t="s">
        <v>26</v>
      </c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</row>
    <row r="17" spans="1:129" s="4" customFormat="1" ht="33.75" customHeight="1">
      <c r="A17" s="221" t="s">
        <v>27</v>
      </c>
      <c r="B17" s="222"/>
      <c r="C17" s="222"/>
      <c r="D17" s="222"/>
      <c r="E17" s="222"/>
      <c r="F17" s="222"/>
      <c r="G17" s="222"/>
      <c r="H17" s="222"/>
      <c r="I17" s="222"/>
      <c r="J17" s="283" t="s">
        <v>368</v>
      </c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>
        <v>6.5990000000000002</v>
      </c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</row>
    <row r="18" spans="1:129" s="4" customFormat="1">
      <c r="A18" s="221" t="s">
        <v>28</v>
      </c>
      <c r="B18" s="222"/>
      <c r="C18" s="222"/>
      <c r="D18" s="222"/>
      <c r="E18" s="222"/>
      <c r="F18" s="222"/>
      <c r="G18" s="222"/>
      <c r="H18" s="222"/>
      <c r="I18" s="222"/>
      <c r="J18" s="266" t="s">
        <v>29</v>
      </c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</row>
    <row r="19" spans="1:129" s="4" customFormat="1">
      <c r="A19" s="221" t="s">
        <v>30</v>
      </c>
      <c r="B19" s="222"/>
      <c r="C19" s="222"/>
      <c r="D19" s="222"/>
      <c r="E19" s="222"/>
      <c r="F19" s="222"/>
      <c r="G19" s="222"/>
      <c r="H19" s="222"/>
      <c r="I19" s="222"/>
      <c r="J19" s="266" t="s">
        <v>31</v>
      </c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>
        <v>6.5990000000000002</v>
      </c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</row>
    <row r="20" spans="1:129" s="4" customFormat="1">
      <c r="A20" s="221" t="s">
        <v>32</v>
      </c>
      <c r="B20" s="222"/>
      <c r="C20" s="222"/>
      <c r="D20" s="222"/>
      <c r="E20" s="222"/>
      <c r="F20" s="222"/>
      <c r="G20" s="222"/>
      <c r="H20" s="222"/>
      <c r="I20" s="222"/>
      <c r="J20" s="266" t="s">
        <v>369</v>
      </c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172">
        <v>5.3940000000000001</v>
      </c>
      <c r="BK20" s="173"/>
      <c r="BL20" s="173"/>
      <c r="BM20" s="173"/>
      <c r="BN20" s="173"/>
      <c r="BO20" s="173"/>
      <c r="BP20" s="173"/>
      <c r="BQ20" s="173"/>
      <c r="BR20" s="173"/>
      <c r="BS20" s="173"/>
      <c r="BT20" s="174"/>
      <c r="BU20" s="172">
        <f>'2018'!O10</f>
        <v>10.850000000000001</v>
      </c>
      <c r="BV20" s="173"/>
      <c r="BW20" s="173"/>
      <c r="BX20" s="173"/>
      <c r="BY20" s="173"/>
      <c r="BZ20" s="173"/>
      <c r="CA20" s="173"/>
      <c r="CB20" s="173"/>
      <c r="CC20" s="173"/>
      <c r="CD20" s="173"/>
      <c r="CE20" s="174"/>
      <c r="CF20" s="172">
        <f>'2019'!H9</f>
        <v>1.899</v>
      </c>
      <c r="CG20" s="173"/>
      <c r="CH20" s="173"/>
      <c r="CI20" s="173"/>
      <c r="CJ20" s="173"/>
      <c r="CK20" s="173"/>
      <c r="CL20" s="173"/>
      <c r="CM20" s="173"/>
      <c r="CN20" s="173"/>
      <c r="CO20" s="173"/>
      <c r="CP20" s="174"/>
      <c r="CQ20" s="172">
        <f>'2020'!H9</f>
        <v>8.032</v>
      </c>
      <c r="CR20" s="173"/>
      <c r="CS20" s="173"/>
      <c r="CT20" s="173"/>
      <c r="CU20" s="173"/>
      <c r="CV20" s="173"/>
      <c r="CW20" s="173"/>
      <c r="CX20" s="173"/>
      <c r="CY20" s="173"/>
      <c r="CZ20" s="173"/>
      <c r="DA20" s="174"/>
      <c r="DB20" s="172">
        <f>'2021'!H9</f>
        <v>9.8160000000000007</v>
      </c>
      <c r="DC20" s="173"/>
      <c r="DD20" s="173"/>
      <c r="DE20" s="173"/>
      <c r="DF20" s="173"/>
      <c r="DG20" s="173"/>
      <c r="DH20" s="173"/>
      <c r="DI20" s="173"/>
      <c r="DJ20" s="173"/>
      <c r="DK20" s="173"/>
      <c r="DL20" s="174"/>
      <c r="DM20" s="172">
        <f>'2022'!H9</f>
        <v>7.8020000000000005</v>
      </c>
      <c r="DN20" s="173"/>
      <c r="DO20" s="173"/>
      <c r="DP20" s="173"/>
      <c r="DQ20" s="173"/>
      <c r="DR20" s="173"/>
      <c r="DS20" s="173"/>
      <c r="DT20" s="173"/>
      <c r="DU20" s="173"/>
      <c r="DV20" s="173"/>
      <c r="DW20" s="174"/>
      <c r="DX20" s="10"/>
      <c r="DY20" s="10"/>
    </row>
    <row r="21" spans="1:129" s="4" customFormat="1">
      <c r="A21" s="276" t="s">
        <v>3</v>
      </c>
      <c r="B21" s="277"/>
      <c r="C21" s="277"/>
      <c r="D21" s="277"/>
      <c r="E21" s="277"/>
      <c r="F21" s="277"/>
      <c r="G21" s="277"/>
      <c r="H21" s="277"/>
      <c r="I21" s="277"/>
      <c r="J21" s="278" t="s">
        <v>34</v>
      </c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9">
        <v>1.8160000000000001</v>
      </c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>
        <f>BU22+BU23+BU24</f>
        <v>1.8199999999999998</v>
      </c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>
        <f>CF22+CF23+CF24</f>
        <v>1.8160000000000001</v>
      </c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>
        <f>CQ22+CQ23+CQ24</f>
        <v>1.8160000000000001</v>
      </c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>
        <f>DB22+DB23+DB24</f>
        <v>1.8160000000000003</v>
      </c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>
        <f>DM22+DM23+DM24</f>
        <v>1.8159999999999998</v>
      </c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</row>
    <row r="22" spans="1:129" s="4" customFormat="1">
      <c r="A22" s="221" t="s">
        <v>35</v>
      </c>
      <c r="B22" s="222"/>
      <c r="C22" s="222"/>
      <c r="D22" s="222"/>
      <c r="E22" s="222"/>
      <c r="F22" s="222"/>
      <c r="G22" s="222"/>
      <c r="H22" s="222"/>
      <c r="I22" s="222"/>
      <c r="J22" s="266" t="s">
        <v>36</v>
      </c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172">
        <v>1.8160000000000001</v>
      </c>
      <c r="BK22" s="173"/>
      <c r="BL22" s="173"/>
      <c r="BM22" s="173"/>
      <c r="BN22" s="173"/>
      <c r="BO22" s="173"/>
      <c r="BP22" s="173"/>
      <c r="BQ22" s="173"/>
      <c r="BR22" s="173"/>
      <c r="BS22" s="173"/>
      <c r="BT22" s="174"/>
      <c r="BU22" s="172">
        <f>'2018'!M10</f>
        <v>1.8199999999999998</v>
      </c>
      <c r="BV22" s="173"/>
      <c r="BW22" s="173"/>
      <c r="BX22" s="173"/>
      <c r="BY22" s="173"/>
      <c r="BZ22" s="173"/>
      <c r="CA22" s="173"/>
      <c r="CB22" s="173"/>
      <c r="CC22" s="173"/>
      <c r="CD22" s="173"/>
      <c r="CE22" s="174"/>
      <c r="CF22" s="172">
        <f>'2019'!F9</f>
        <v>1.8160000000000001</v>
      </c>
      <c r="CG22" s="173"/>
      <c r="CH22" s="173"/>
      <c r="CI22" s="173"/>
      <c r="CJ22" s="173"/>
      <c r="CK22" s="173"/>
      <c r="CL22" s="173"/>
      <c r="CM22" s="173"/>
      <c r="CN22" s="173"/>
      <c r="CO22" s="173"/>
      <c r="CP22" s="174"/>
      <c r="CQ22" s="172">
        <f>'2020'!F9</f>
        <v>1.8160000000000001</v>
      </c>
      <c r="CR22" s="173"/>
      <c r="CS22" s="173"/>
      <c r="CT22" s="173"/>
      <c r="CU22" s="173"/>
      <c r="CV22" s="173"/>
      <c r="CW22" s="173"/>
      <c r="CX22" s="173"/>
      <c r="CY22" s="173"/>
      <c r="CZ22" s="173"/>
      <c r="DA22" s="174"/>
      <c r="DB22" s="172">
        <f>'2021'!F9</f>
        <v>1.8160000000000003</v>
      </c>
      <c r="DC22" s="173"/>
      <c r="DD22" s="173"/>
      <c r="DE22" s="173"/>
      <c r="DF22" s="173"/>
      <c r="DG22" s="173"/>
      <c r="DH22" s="173"/>
      <c r="DI22" s="173"/>
      <c r="DJ22" s="173"/>
      <c r="DK22" s="173"/>
      <c r="DL22" s="174"/>
      <c r="DM22" s="172">
        <f>'2022'!F9</f>
        <v>1.8159999999999998</v>
      </c>
      <c r="DN22" s="173"/>
      <c r="DO22" s="173"/>
      <c r="DP22" s="173"/>
      <c r="DQ22" s="173"/>
      <c r="DR22" s="173"/>
      <c r="DS22" s="173"/>
      <c r="DT22" s="173"/>
      <c r="DU22" s="173"/>
      <c r="DV22" s="173"/>
      <c r="DW22" s="174"/>
    </row>
    <row r="23" spans="1:129" s="4" customFormat="1">
      <c r="A23" s="221" t="s">
        <v>37</v>
      </c>
      <c r="B23" s="222"/>
      <c r="C23" s="222"/>
      <c r="D23" s="222"/>
      <c r="E23" s="222"/>
      <c r="F23" s="222"/>
      <c r="G23" s="222"/>
      <c r="H23" s="222"/>
      <c r="I23" s="222"/>
      <c r="J23" s="266" t="s">
        <v>38</v>
      </c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</row>
    <row r="24" spans="1:129" s="4" customFormat="1">
      <c r="A24" s="221" t="s">
        <v>39</v>
      </c>
      <c r="B24" s="222"/>
      <c r="C24" s="222"/>
      <c r="D24" s="222"/>
      <c r="E24" s="222"/>
      <c r="F24" s="222"/>
      <c r="G24" s="222"/>
      <c r="H24" s="222"/>
      <c r="I24" s="222"/>
      <c r="J24" s="266" t="s">
        <v>40</v>
      </c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</row>
    <row r="25" spans="1:129" s="4" customFormat="1">
      <c r="A25" s="272" t="s">
        <v>4</v>
      </c>
      <c r="B25" s="273"/>
      <c r="C25" s="273"/>
      <c r="D25" s="273"/>
      <c r="E25" s="273"/>
      <c r="F25" s="273"/>
      <c r="G25" s="273"/>
      <c r="H25" s="273"/>
      <c r="I25" s="273"/>
      <c r="J25" s="274" t="s">
        <v>41</v>
      </c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5">
        <v>5.4889999999999999</v>
      </c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>
        <f>'2018'!P10</f>
        <v>7.6609999999999987</v>
      </c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>
        <f>'2019'!I9</f>
        <v>3.548999999999999</v>
      </c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  <c r="CQ25" s="275">
        <f>'2020'!I9</f>
        <v>4.7750000000000004</v>
      </c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>
        <f>'2021'!I9</f>
        <v>5.218</v>
      </c>
      <c r="DC25" s="275"/>
      <c r="DD25" s="275"/>
      <c r="DE25" s="275"/>
      <c r="DF25" s="275"/>
      <c r="DG25" s="275"/>
      <c r="DH25" s="275"/>
      <c r="DI25" s="275"/>
      <c r="DJ25" s="275"/>
      <c r="DK25" s="275"/>
      <c r="DL25" s="275"/>
      <c r="DM25" s="275">
        <f>'2022'!I9</f>
        <v>4.9809999999999999</v>
      </c>
      <c r="DN25" s="275"/>
      <c r="DO25" s="275"/>
      <c r="DP25" s="275"/>
      <c r="DQ25" s="275"/>
      <c r="DR25" s="275"/>
      <c r="DS25" s="275"/>
      <c r="DT25" s="275"/>
      <c r="DU25" s="275"/>
      <c r="DV25" s="275"/>
      <c r="DW25" s="275"/>
    </row>
    <row r="26" spans="1:129" s="4" customFormat="1">
      <c r="A26" s="221" t="s">
        <v>5</v>
      </c>
      <c r="B26" s="222"/>
      <c r="C26" s="222"/>
      <c r="D26" s="222"/>
      <c r="E26" s="222"/>
      <c r="F26" s="222"/>
      <c r="G26" s="222"/>
      <c r="H26" s="222"/>
      <c r="I26" s="222"/>
      <c r="J26" s="266" t="s">
        <v>344</v>
      </c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59">
        <f>BJ27+BJ28</f>
        <v>7.8959999999999999</v>
      </c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59">
        <f>BU27+BU28</f>
        <v>7.8960000000000008</v>
      </c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59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59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59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59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10"/>
    </row>
    <row r="27" spans="1:129" s="4" customFormat="1">
      <c r="A27" s="221" t="s">
        <v>42</v>
      </c>
      <c r="B27" s="222"/>
      <c r="C27" s="222"/>
      <c r="D27" s="222"/>
      <c r="E27" s="222"/>
      <c r="F27" s="222"/>
      <c r="G27" s="222"/>
      <c r="H27" s="222"/>
      <c r="I27" s="222"/>
      <c r="J27" s="266" t="s">
        <v>43</v>
      </c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  <c r="DW27" s="224"/>
    </row>
    <row r="28" spans="1:129" s="4" customFormat="1" ht="26.25" customHeight="1">
      <c r="A28" s="221" t="s">
        <v>345</v>
      </c>
      <c r="B28" s="222"/>
      <c r="C28" s="222"/>
      <c r="D28" s="222"/>
      <c r="E28" s="222"/>
      <c r="F28" s="222"/>
      <c r="G28" s="222"/>
      <c r="H28" s="222"/>
      <c r="I28" s="222"/>
      <c r="J28" s="289" t="s">
        <v>346</v>
      </c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1"/>
      <c r="BJ28" s="224">
        <v>7.8959999999999999</v>
      </c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>
        <f>'2018'!N10</f>
        <v>7.8960000000000008</v>
      </c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</row>
    <row r="29" spans="1:129" s="4" customFormat="1">
      <c r="A29" s="221" t="s">
        <v>6</v>
      </c>
      <c r="B29" s="222"/>
      <c r="C29" s="222"/>
      <c r="D29" s="222"/>
      <c r="E29" s="222"/>
      <c r="F29" s="222"/>
      <c r="G29" s="222"/>
      <c r="H29" s="222"/>
      <c r="I29" s="222"/>
      <c r="J29" s="266" t="s">
        <v>44</v>
      </c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224"/>
      <c r="DW29" s="224"/>
    </row>
    <row r="30" spans="1:129" s="4" customFormat="1">
      <c r="A30" s="221" t="s">
        <v>16</v>
      </c>
      <c r="B30" s="222"/>
      <c r="C30" s="222"/>
      <c r="D30" s="222"/>
      <c r="E30" s="222"/>
      <c r="F30" s="222"/>
      <c r="G30" s="222"/>
      <c r="H30" s="222"/>
      <c r="I30" s="222"/>
      <c r="J30" s="266" t="s">
        <v>45</v>
      </c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24"/>
      <c r="DS30" s="224"/>
      <c r="DT30" s="224"/>
      <c r="DU30" s="224"/>
      <c r="DV30" s="224"/>
      <c r="DW30" s="224"/>
    </row>
    <row r="31" spans="1:129" s="4" customFormat="1">
      <c r="A31" s="221" t="s">
        <v>8</v>
      </c>
      <c r="B31" s="222"/>
      <c r="C31" s="222"/>
      <c r="D31" s="222"/>
      <c r="E31" s="222"/>
      <c r="F31" s="222"/>
      <c r="G31" s="222"/>
      <c r="H31" s="222"/>
      <c r="I31" s="222"/>
      <c r="J31" s="266" t="s">
        <v>46</v>
      </c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</row>
    <row r="32" spans="1:129" s="4" customFormat="1">
      <c r="A32" s="221" t="s">
        <v>9</v>
      </c>
      <c r="B32" s="222"/>
      <c r="C32" s="222"/>
      <c r="D32" s="222"/>
      <c r="E32" s="222"/>
      <c r="F32" s="222"/>
      <c r="G32" s="222"/>
      <c r="H32" s="222"/>
      <c r="I32" s="222"/>
      <c r="J32" s="266" t="s">
        <v>47</v>
      </c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224"/>
      <c r="DU32" s="224"/>
      <c r="DV32" s="224"/>
      <c r="DW32" s="224"/>
    </row>
    <row r="33" spans="1:127" s="4" customFormat="1">
      <c r="A33" s="221" t="s">
        <v>10</v>
      </c>
      <c r="B33" s="222"/>
      <c r="C33" s="222"/>
      <c r="D33" s="222"/>
      <c r="E33" s="222"/>
      <c r="F33" s="222"/>
      <c r="G33" s="222"/>
      <c r="H33" s="222"/>
      <c r="I33" s="222"/>
      <c r="J33" s="266" t="s">
        <v>48</v>
      </c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</row>
    <row r="34" spans="1:127" s="4" customFormat="1">
      <c r="A34" s="221" t="s">
        <v>11</v>
      </c>
      <c r="B34" s="222"/>
      <c r="C34" s="222"/>
      <c r="D34" s="222"/>
      <c r="E34" s="222"/>
      <c r="F34" s="222"/>
      <c r="G34" s="222"/>
      <c r="H34" s="222"/>
      <c r="I34" s="222"/>
      <c r="J34" s="266" t="s">
        <v>49</v>
      </c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  <c r="DW34" s="224"/>
    </row>
    <row r="35" spans="1:127" s="4" customFormat="1">
      <c r="A35" s="221" t="s">
        <v>12</v>
      </c>
      <c r="B35" s="222"/>
      <c r="C35" s="222"/>
      <c r="D35" s="222"/>
      <c r="E35" s="222"/>
      <c r="F35" s="222"/>
      <c r="G35" s="222"/>
      <c r="H35" s="222"/>
      <c r="I35" s="222"/>
      <c r="J35" s="266" t="s">
        <v>50</v>
      </c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  <c r="DU35" s="224"/>
      <c r="DV35" s="224"/>
      <c r="DW35" s="224"/>
    </row>
    <row r="36" spans="1:127" s="4" customFormat="1">
      <c r="A36" s="221" t="s">
        <v>13</v>
      </c>
      <c r="B36" s="222"/>
      <c r="C36" s="222"/>
      <c r="D36" s="222"/>
      <c r="E36" s="222"/>
      <c r="F36" s="222"/>
      <c r="G36" s="222"/>
      <c r="H36" s="222"/>
      <c r="I36" s="222"/>
      <c r="J36" s="266" t="s">
        <v>51</v>
      </c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  <c r="DU36" s="224"/>
      <c r="DV36" s="224"/>
      <c r="DW36" s="224"/>
    </row>
    <row r="37" spans="1:127" s="4" customFormat="1">
      <c r="A37" s="221" t="s">
        <v>14</v>
      </c>
      <c r="B37" s="222"/>
      <c r="C37" s="222"/>
      <c r="D37" s="222"/>
      <c r="E37" s="222"/>
      <c r="F37" s="222"/>
      <c r="G37" s="222"/>
      <c r="H37" s="222"/>
      <c r="I37" s="222"/>
      <c r="J37" s="266" t="s">
        <v>52</v>
      </c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224"/>
      <c r="DM37" s="224"/>
      <c r="DN37" s="224"/>
      <c r="DO37" s="224"/>
      <c r="DP37" s="224"/>
      <c r="DQ37" s="224"/>
      <c r="DR37" s="224"/>
      <c r="DS37" s="224"/>
      <c r="DT37" s="224"/>
      <c r="DU37" s="224"/>
      <c r="DV37" s="224"/>
      <c r="DW37" s="224"/>
    </row>
    <row r="38" spans="1:127" s="5" customFormat="1">
      <c r="A38" s="267"/>
      <c r="B38" s="268"/>
      <c r="C38" s="268"/>
      <c r="D38" s="268"/>
      <c r="E38" s="268"/>
      <c r="F38" s="268"/>
      <c r="G38" s="268"/>
      <c r="H38" s="268"/>
      <c r="I38" s="268"/>
      <c r="J38" s="269" t="s">
        <v>53</v>
      </c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70">
        <f>BJ13+BJ30</f>
        <v>35.983879999999999</v>
      </c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0">
        <f>BU13+BU30</f>
        <v>50.214880000000001</v>
      </c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0">
        <f>CF13+CF30</f>
        <v>23.268435199999999</v>
      </c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0">
        <f>CQ13+CQ30</f>
        <v>31.299621478399999</v>
      </c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0">
        <f>DB13+DB30</f>
        <v>34.210362959014397</v>
      </c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0">
        <f>DM13+DM30</f>
        <v>32.653777477374973</v>
      </c>
      <c r="DN38" s="271"/>
      <c r="DO38" s="271"/>
      <c r="DP38" s="271"/>
      <c r="DQ38" s="271"/>
      <c r="DR38" s="271"/>
      <c r="DS38" s="271"/>
      <c r="DT38" s="271"/>
      <c r="DU38" s="271"/>
      <c r="DV38" s="271"/>
      <c r="DW38" s="271"/>
    </row>
    <row r="39" spans="1:127" s="4" customFormat="1">
      <c r="A39" s="221"/>
      <c r="B39" s="222"/>
      <c r="C39" s="222"/>
      <c r="D39" s="222"/>
      <c r="E39" s="222"/>
      <c r="F39" s="222"/>
      <c r="G39" s="222"/>
      <c r="H39" s="222"/>
      <c r="I39" s="222"/>
      <c r="J39" s="266" t="s">
        <v>340</v>
      </c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224"/>
      <c r="DM39" s="224"/>
      <c r="DN39" s="224"/>
      <c r="DO39" s="224"/>
      <c r="DP39" s="224"/>
      <c r="DQ39" s="224"/>
      <c r="DR39" s="224"/>
      <c r="DS39" s="224"/>
      <c r="DT39" s="224"/>
      <c r="DU39" s="224"/>
      <c r="DV39" s="224"/>
      <c r="DW39" s="224"/>
    </row>
    <row r="40" spans="1:127" s="4" customFormat="1">
      <c r="A40" s="221"/>
      <c r="B40" s="222"/>
      <c r="C40" s="222"/>
      <c r="D40" s="222"/>
      <c r="E40" s="222"/>
      <c r="F40" s="222"/>
      <c r="G40" s="222"/>
      <c r="H40" s="222"/>
      <c r="I40" s="222"/>
      <c r="J40" s="265" t="s">
        <v>54</v>
      </c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  <c r="DQ40" s="224"/>
      <c r="DR40" s="224"/>
      <c r="DS40" s="224"/>
      <c r="DT40" s="224"/>
      <c r="DU40" s="224"/>
      <c r="DV40" s="224"/>
      <c r="DW40" s="224"/>
    </row>
    <row r="41" spans="1:127" s="4" customFormat="1" ht="13.5" thickBot="1">
      <c r="A41" s="261"/>
      <c r="B41" s="262"/>
      <c r="C41" s="262"/>
      <c r="D41" s="262"/>
      <c r="E41" s="262"/>
      <c r="F41" s="262"/>
      <c r="G41" s="262"/>
      <c r="H41" s="262"/>
      <c r="I41" s="262"/>
      <c r="J41" s="263" t="s">
        <v>55</v>
      </c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0"/>
      <c r="CY41" s="260"/>
      <c r="CZ41" s="260"/>
      <c r="DA41" s="260"/>
      <c r="DB41" s="260"/>
      <c r="DC41" s="260"/>
      <c r="DD41" s="260"/>
      <c r="DE41" s="260"/>
      <c r="DF41" s="260"/>
      <c r="DG41" s="260"/>
      <c r="DH41" s="260"/>
      <c r="DI41" s="260"/>
      <c r="DJ41" s="260"/>
      <c r="DK41" s="260"/>
      <c r="DL41" s="260"/>
      <c r="DM41" s="260"/>
      <c r="DN41" s="260"/>
      <c r="DO41" s="260"/>
      <c r="DP41" s="260"/>
      <c r="DQ41" s="260"/>
      <c r="DR41" s="260"/>
      <c r="DS41" s="260"/>
      <c r="DT41" s="260"/>
      <c r="DU41" s="260"/>
      <c r="DV41" s="260"/>
      <c r="DW41" s="260"/>
    </row>
    <row r="42" spans="1:127" s="6" customFormat="1" ht="11.25">
      <c r="G42" s="7" t="s">
        <v>56</v>
      </c>
      <c r="H42" s="6" t="s">
        <v>57</v>
      </c>
    </row>
    <row r="43" spans="1:127" s="6" customFormat="1" ht="11.25">
      <c r="F43" s="7"/>
      <c r="G43" s="7" t="s">
        <v>58</v>
      </c>
      <c r="H43" s="6" t="s">
        <v>59</v>
      </c>
    </row>
    <row r="44" spans="1:127" s="6" customFormat="1" ht="12.75" customHeight="1">
      <c r="E44" s="264" t="s">
        <v>335</v>
      </c>
      <c r="F44" s="264"/>
      <c r="G44" s="264"/>
      <c r="H44" s="257" t="s">
        <v>339</v>
      </c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</row>
    <row r="47" spans="1:127">
      <c r="F47" s="2" t="s">
        <v>341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</row>
    <row r="50" spans="1:44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4">
      <c r="A51" s="128" t="s">
        <v>152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</row>
    <row r="52" spans="1:44">
      <c r="A52" s="128" t="s">
        <v>154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</row>
  </sheetData>
  <mergeCells count="258">
    <mergeCell ref="BJ28:BT28"/>
    <mergeCell ref="BJ29:BT29"/>
    <mergeCell ref="BJ30:BT30"/>
    <mergeCell ref="BJ31:BT31"/>
    <mergeCell ref="BJ32:BT32"/>
    <mergeCell ref="BJ33:BT33"/>
    <mergeCell ref="BJ34:BT34"/>
    <mergeCell ref="BJ35:BT35"/>
    <mergeCell ref="BJ36:BT36"/>
    <mergeCell ref="BJ16:BT16"/>
    <mergeCell ref="BJ17:BT17"/>
    <mergeCell ref="BJ18:BT18"/>
    <mergeCell ref="BJ19:BT19"/>
    <mergeCell ref="BJ20:BT20"/>
    <mergeCell ref="BJ21:BT21"/>
    <mergeCell ref="BJ22:BT22"/>
    <mergeCell ref="BJ23:BT23"/>
    <mergeCell ref="BJ24:BT24"/>
    <mergeCell ref="CN1:DV1"/>
    <mergeCell ref="CN4:DV4"/>
    <mergeCell ref="CN5:DV5"/>
    <mergeCell ref="CN6:DV6"/>
    <mergeCell ref="CN7:DV7"/>
    <mergeCell ref="CN8:DV8"/>
    <mergeCell ref="A28:I28"/>
    <mergeCell ref="J28:BI28"/>
    <mergeCell ref="BU28:CE28"/>
    <mergeCell ref="CF28:CP28"/>
    <mergeCell ref="CQ28:DA28"/>
    <mergeCell ref="DB28:DL28"/>
    <mergeCell ref="DM28:DW28"/>
    <mergeCell ref="A7:AP7"/>
    <mergeCell ref="A8:AP8"/>
    <mergeCell ref="A9:AO9"/>
    <mergeCell ref="CJ9:CK9"/>
    <mergeCell ref="CO9:CP9"/>
    <mergeCell ref="DM14:DW14"/>
    <mergeCell ref="A15:I15"/>
    <mergeCell ref="J15:BI15"/>
    <mergeCell ref="BU15:CE15"/>
    <mergeCell ref="CF15:CP15"/>
    <mergeCell ref="CQ15:DA15"/>
    <mergeCell ref="A3:DW3"/>
    <mergeCell ref="A5:AP5"/>
    <mergeCell ref="A6:AP6"/>
    <mergeCell ref="DM12:DW12"/>
    <mergeCell ref="A13:I13"/>
    <mergeCell ref="J13:BI13"/>
    <mergeCell ref="BU13:CE13"/>
    <mergeCell ref="CF13:CP13"/>
    <mergeCell ref="CQ13:DA13"/>
    <mergeCell ref="DB13:DL13"/>
    <mergeCell ref="DM13:DW13"/>
    <mergeCell ref="A12:I12"/>
    <mergeCell ref="J12:BI12"/>
    <mergeCell ref="BU12:CE12"/>
    <mergeCell ref="CF12:CP12"/>
    <mergeCell ref="CQ12:DA12"/>
    <mergeCell ref="DB12:DL12"/>
    <mergeCell ref="BJ12:BT12"/>
    <mergeCell ref="BJ13:BT13"/>
    <mergeCell ref="DB14:DL14"/>
    <mergeCell ref="DM16:DW16"/>
    <mergeCell ref="A17:I17"/>
    <mergeCell ref="J17:BI17"/>
    <mergeCell ref="BU17:CE17"/>
    <mergeCell ref="CF17:CP17"/>
    <mergeCell ref="CQ17:DA17"/>
    <mergeCell ref="DB17:DL17"/>
    <mergeCell ref="DM17:DW17"/>
    <mergeCell ref="A16:I16"/>
    <mergeCell ref="J16:BI16"/>
    <mergeCell ref="BU16:CE16"/>
    <mergeCell ref="CF16:CP16"/>
    <mergeCell ref="CQ16:DA16"/>
    <mergeCell ref="DB16:DL16"/>
    <mergeCell ref="DB15:DL15"/>
    <mergeCell ref="DM15:DW15"/>
    <mergeCell ref="A14:I14"/>
    <mergeCell ref="J14:BI14"/>
    <mergeCell ref="BU14:CE14"/>
    <mergeCell ref="CF14:CP14"/>
    <mergeCell ref="CQ14:DA14"/>
    <mergeCell ref="BJ14:BT14"/>
    <mergeCell ref="BJ15:BT15"/>
    <mergeCell ref="DM18:DW18"/>
    <mergeCell ref="A19:I19"/>
    <mergeCell ref="J19:BI19"/>
    <mergeCell ref="BU19:CE19"/>
    <mergeCell ref="CF19:CP19"/>
    <mergeCell ref="CQ19:DA19"/>
    <mergeCell ref="DB19:DL19"/>
    <mergeCell ref="DM19:DW19"/>
    <mergeCell ref="A18:I18"/>
    <mergeCell ref="J18:BI18"/>
    <mergeCell ref="BU18:CE18"/>
    <mergeCell ref="CF18:CP18"/>
    <mergeCell ref="CQ18:DA18"/>
    <mergeCell ref="DB18:DL18"/>
    <mergeCell ref="DM20:DW20"/>
    <mergeCell ref="A21:I21"/>
    <mergeCell ref="J21:BI21"/>
    <mergeCell ref="BU21:CE21"/>
    <mergeCell ref="CF21:CP21"/>
    <mergeCell ref="CQ21:DA21"/>
    <mergeCell ref="DB21:DL21"/>
    <mergeCell ref="DM21:DW21"/>
    <mergeCell ref="A20:I20"/>
    <mergeCell ref="J20:BI20"/>
    <mergeCell ref="BU20:CE20"/>
    <mergeCell ref="CF20:CP20"/>
    <mergeCell ref="CQ20:DA20"/>
    <mergeCell ref="DB20:DL20"/>
    <mergeCell ref="DM22:DW22"/>
    <mergeCell ref="A23:I23"/>
    <mergeCell ref="J23:BI23"/>
    <mergeCell ref="BU23:CE23"/>
    <mergeCell ref="CF23:CP23"/>
    <mergeCell ref="CQ23:DA23"/>
    <mergeCell ref="DB23:DL23"/>
    <mergeCell ref="DM23:DW23"/>
    <mergeCell ref="A22:I22"/>
    <mergeCell ref="J22:BI22"/>
    <mergeCell ref="BU22:CE22"/>
    <mergeCell ref="CF22:CP22"/>
    <mergeCell ref="CQ22:DA22"/>
    <mergeCell ref="DB22:DL22"/>
    <mergeCell ref="DM24:DW24"/>
    <mergeCell ref="A25:I25"/>
    <mergeCell ref="J25:BI25"/>
    <mergeCell ref="BU25:CE25"/>
    <mergeCell ref="CF25:CP25"/>
    <mergeCell ref="CQ25:DA25"/>
    <mergeCell ref="DB25:DL25"/>
    <mergeCell ref="DM25:DW25"/>
    <mergeCell ref="A24:I24"/>
    <mergeCell ref="J24:BI24"/>
    <mergeCell ref="BU24:CE24"/>
    <mergeCell ref="CF24:CP24"/>
    <mergeCell ref="CQ24:DA24"/>
    <mergeCell ref="DB24:DL24"/>
    <mergeCell ref="BJ25:BT25"/>
    <mergeCell ref="DM26:DW26"/>
    <mergeCell ref="A27:I27"/>
    <mergeCell ref="J27:BI27"/>
    <mergeCell ref="BU27:CE27"/>
    <mergeCell ref="CF27:CP27"/>
    <mergeCell ref="CQ27:DA27"/>
    <mergeCell ref="DB27:DL27"/>
    <mergeCell ref="DM27:DW27"/>
    <mergeCell ref="A26:I26"/>
    <mergeCell ref="J26:BI26"/>
    <mergeCell ref="BU26:CE26"/>
    <mergeCell ref="CF26:CP26"/>
    <mergeCell ref="CQ26:DA26"/>
    <mergeCell ref="DB26:DL26"/>
    <mergeCell ref="BJ26:BT26"/>
    <mergeCell ref="BJ27:BT27"/>
    <mergeCell ref="DM29:DW29"/>
    <mergeCell ref="A30:I30"/>
    <mergeCell ref="J30:BI30"/>
    <mergeCell ref="BU30:CE30"/>
    <mergeCell ref="CF30:CP30"/>
    <mergeCell ref="CQ30:DA30"/>
    <mergeCell ref="DB30:DL30"/>
    <mergeCell ref="DM30:DW30"/>
    <mergeCell ref="A29:I29"/>
    <mergeCell ref="J29:BI29"/>
    <mergeCell ref="BU29:CE29"/>
    <mergeCell ref="CF29:CP29"/>
    <mergeCell ref="CQ29:DA29"/>
    <mergeCell ref="DB29:DL29"/>
    <mergeCell ref="DM31:DW31"/>
    <mergeCell ref="A32:I32"/>
    <mergeCell ref="J32:BI32"/>
    <mergeCell ref="BU32:CE32"/>
    <mergeCell ref="CF32:CP32"/>
    <mergeCell ref="CQ32:DA32"/>
    <mergeCell ref="DB32:DL32"/>
    <mergeCell ref="DM32:DW32"/>
    <mergeCell ref="A31:I31"/>
    <mergeCell ref="J31:BI31"/>
    <mergeCell ref="BU31:CE31"/>
    <mergeCell ref="CF31:CP31"/>
    <mergeCell ref="CQ31:DA31"/>
    <mergeCell ref="DB31:DL31"/>
    <mergeCell ref="DM33:DW33"/>
    <mergeCell ref="A34:I34"/>
    <mergeCell ref="J34:BI34"/>
    <mergeCell ref="BU34:CE34"/>
    <mergeCell ref="CF34:CP34"/>
    <mergeCell ref="CQ34:DA34"/>
    <mergeCell ref="DB34:DL34"/>
    <mergeCell ref="DM34:DW34"/>
    <mergeCell ref="A33:I33"/>
    <mergeCell ref="J33:BI33"/>
    <mergeCell ref="BU33:CE33"/>
    <mergeCell ref="CF33:CP33"/>
    <mergeCell ref="CQ33:DA33"/>
    <mergeCell ref="DB33:DL33"/>
    <mergeCell ref="DM35:DW35"/>
    <mergeCell ref="A36:I36"/>
    <mergeCell ref="J36:BI36"/>
    <mergeCell ref="BU36:CE36"/>
    <mergeCell ref="CF36:CP36"/>
    <mergeCell ref="CQ36:DA36"/>
    <mergeCell ref="DB36:DL36"/>
    <mergeCell ref="DM36:DW36"/>
    <mergeCell ref="A35:I35"/>
    <mergeCell ref="J35:BI35"/>
    <mergeCell ref="BU35:CE35"/>
    <mergeCell ref="CF35:CP35"/>
    <mergeCell ref="CQ35:DA35"/>
    <mergeCell ref="DB35:DL35"/>
    <mergeCell ref="DM37:DW37"/>
    <mergeCell ref="A38:I38"/>
    <mergeCell ref="J38:BI38"/>
    <mergeCell ref="BU38:CE38"/>
    <mergeCell ref="CF38:CP38"/>
    <mergeCell ref="CQ38:DA38"/>
    <mergeCell ref="DB38:DL38"/>
    <mergeCell ref="DM38:DW38"/>
    <mergeCell ref="A37:I37"/>
    <mergeCell ref="J37:BI37"/>
    <mergeCell ref="BU37:CE37"/>
    <mergeCell ref="CF37:CP37"/>
    <mergeCell ref="CQ37:DA37"/>
    <mergeCell ref="DB37:DL37"/>
    <mergeCell ref="BJ37:BT37"/>
    <mergeCell ref="BJ38:BT38"/>
    <mergeCell ref="DM39:DW39"/>
    <mergeCell ref="A40:I40"/>
    <mergeCell ref="J40:BI40"/>
    <mergeCell ref="BU40:CE40"/>
    <mergeCell ref="CF40:CP40"/>
    <mergeCell ref="CQ40:DA40"/>
    <mergeCell ref="DB40:DL40"/>
    <mergeCell ref="DM40:DW40"/>
    <mergeCell ref="A39:I39"/>
    <mergeCell ref="J39:BI39"/>
    <mergeCell ref="BU39:CE39"/>
    <mergeCell ref="CF39:CP39"/>
    <mergeCell ref="CQ39:DA39"/>
    <mergeCell ref="DB39:DL39"/>
    <mergeCell ref="BJ39:BT39"/>
    <mergeCell ref="BJ40:BT40"/>
    <mergeCell ref="DM41:DW41"/>
    <mergeCell ref="A51:AR51"/>
    <mergeCell ref="A52:AR52"/>
    <mergeCell ref="A41:I41"/>
    <mergeCell ref="J41:BI41"/>
    <mergeCell ref="BU41:CE41"/>
    <mergeCell ref="CF41:CP41"/>
    <mergeCell ref="CQ41:DA41"/>
    <mergeCell ref="DB41:DL41"/>
    <mergeCell ref="E44:G44"/>
    <mergeCell ref="H44:DL44"/>
    <mergeCell ref="BJ41:BT41"/>
  </mergeCells>
  <pageMargins left="0.7" right="0.7" top="0.75" bottom="0.75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topLeftCell="C1" workbookViewId="0">
      <selection activeCell="P33" sqref="P33"/>
    </sheetView>
  </sheetViews>
  <sheetFormatPr defaultRowHeight="15"/>
  <cols>
    <col min="1" max="1" width="4.7109375" style="34" customWidth="1"/>
    <col min="2" max="2" width="41" customWidth="1"/>
    <col min="3" max="3" width="15.28515625" customWidth="1"/>
    <col min="4" max="4" width="9.5703125" customWidth="1"/>
    <col min="5" max="16" width="8.7109375" customWidth="1"/>
    <col min="17" max="17" width="22.140625" customWidth="1"/>
  </cols>
  <sheetData>
    <row r="1" spans="1:20">
      <c r="N1" s="294" t="s">
        <v>363</v>
      </c>
      <c r="O1" s="294"/>
      <c r="P1" s="294"/>
    </row>
    <row r="3" spans="1:20">
      <c r="B3" s="55" t="s">
        <v>325</v>
      </c>
      <c r="C3" s="55"/>
      <c r="D3" s="55"/>
      <c r="E3" s="55"/>
      <c r="F3" s="55"/>
      <c r="G3" s="55"/>
      <c r="H3" s="55"/>
      <c r="I3" s="55"/>
      <c r="J3" s="23"/>
      <c r="K3" s="23"/>
      <c r="L3" s="23"/>
      <c r="M3" s="23"/>
      <c r="N3" s="23"/>
      <c r="O3" s="23"/>
      <c r="P3" s="23"/>
    </row>
    <row r="4" spans="1:20" ht="15.75" thickBot="1">
      <c r="A4" s="61"/>
      <c r="B4" s="55"/>
      <c r="C4" s="55"/>
      <c r="D4" s="55"/>
      <c r="E4" s="55"/>
      <c r="F4" s="55"/>
      <c r="G4" s="55"/>
      <c r="H4" s="55"/>
      <c r="I4" s="55"/>
      <c r="J4" s="23"/>
      <c r="K4" s="23"/>
      <c r="L4" s="23"/>
      <c r="M4" s="23"/>
      <c r="N4" s="23"/>
      <c r="O4" s="23"/>
      <c r="P4" s="23"/>
    </row>
    <row r="5" spans="1:20">
      <c r="A5" s="307" t="s">
        <v>0</v>
      </c>
      <c r="B5" s="309" t="s">
        <v>158</v>
      </c>
      <c r="C5" s="311" t="s">
        <v>159</v>
      </c>
      <c r="D5" s="330" t="s">
        <v>371</v>
      </c>
      <c r="E5" s="313" t="s">
        <v>378</v>
      </c>
      <c r="F5" s="313"/>
      <c r="G5" s="313"/>
      <c r="H5" s="313"/>
      <c r="I5" s="314"/>
      <c r="J5" s="295" t="s">
        <v>377</v>
      </c>
      <c r="K5" s="296"/>
      <c r="L5" s="296"/>
      <c r="M5" s="296"/>
      <c r="N5" s="296"/>
      <c r="O5" s="296"/>
      <c r="P5" s="297"/>
      <c r="Q5" s="323" t="s">
        <v>380</v>
      </c>
    </row>
    <row r="6" spans="1:20" s="8" customFormat="1" ht="13.5" customHeight="1">
      <c r="A6" s="308"/>
      <c r="B6" s="310"/>
      <c r="C6" s="312"/>
      <c r="D6" s="331"/>
      <c r="E6" s="310" t="s">
        <v>379</v>
      </c>
      <c r="F6" s="310"/>
      <c r="G6" s="310"/>
      <c r="H6" s="310"/>
      <c r="I6" s="312"/>
      <c r="J6" s="318" t="s">
        <v>373</v>
      </c>
      <c r="K6" s="316" t="s">
        <v>163</v>
      </c>
      <c r="L6" s="316"/>
      <c r="M6" s="316"/>
      <c r="N6" s="316"/>
      <c r="O6" s="316"/>
      <c r="P6" s="317"/>
      <c r="Q6" s="324"/>
    </row>
    <row r="7" spans="1:20" s="8" customFormat="1" ht="11.25" customHeight="1">
      <c r="A7" s="308"/>
      <c r="B7" s="310"/>
      <c r="C7" s="312"/>
      <c r="D7" s="331"/>
      <c r="E7" s="310" t="s">
        <v>71</v>
      </c>
      <c r="F7" s="310"/>
      <c r="G7" s="310"/>
      <c r="H7" s="310"/>
      <c r="I7" s="312"/>
      <c r="J7" s="318"/>
      <c r="K7" s="316" t="s">
        <v>160</v>
      </c>
      <c r="L7" s="316"/>
      <c r="M7" s="316"/>
      <c r="N7" s="316"/>
      <c r="O7" s="316"/>
      <c r="P7" s="317"/>
      <c r="Q7" s="324"/>
    </row>
    <row r="8" spans="1:20" s="8" customFormat="1" ht="82.5" customHeight="1">
      <c r="A8" s="308"/>
      <c r="B8" s="310"/>
      <c r="C8" s="312"/>
      <c r="D8" s="332"/>
      <c r="E8" s="86" t="s">
        <v>164</v>
      </c>
      <c r="F8" s="86" t="s">
        <v>36</v>
      </c>
      <c r="G8" s="88" t="s">
        <v>165</v>
      </c>
      <c r="H8" s="86" t="s">
        <v>33</v>
      </c>
      <c r="I8" s="87" t="s">
        <v>41</v>
      </c>
      <c r="J8" s="318"/>
      <c r="K8" s="89" t="s">
        <v>164</v>
      </c>
      <c r="L8" s="89" t="s">
        <v>362</v>
      </c>
      <c r="M8" s="89" t="s">
        <v>36</v>
      </c>
      <c r="N8" s="90" t="s">
        <v>165</v>
      </c>
      <c r="O8" s="89" t="s">
        <v>33</v>
      </c>
      <c r="P8" s="91" t="s">
        <v>41</v>
      </c>
      <c r="Q8" s="325"/>
      <c r="R8" s="64"/>
      <c r="S8" s="64"/>
      <c r="T8" s="64"/>
    </row>
    <row r="9" spans="1:20" s="2" customFormat="1" ht="12.75">
      <c r="A9" s="66">
        <v>1</v>
      </c>
      <c r="B9" s="35">
        <v>2</v>
      </c>
      <c r="C9" s="67">
        <v>3</v>
      </c>
      <c r="D9" s="66">
        <v>4</v>
      </c>
      <c r="E9" s="35">
        <v>5</v>
      </c>
      <c r="F9" s="35">
        <v>6</v>
      </c>
      <c r="G9" s="35">
        <v>7</v>
      </c>
      <c r="H9" s="35">
        <v>8</v>
      </c>
      <c r="I9" s="67">
        <v>9</v>
      </c>
      <c r="J9" s="92">
        <v>10</v>
      </c>
      <c r="K9" s="93">
        <v>11</v>
      </c>
      <c r="L9" s="93">
        <v>12</v>
      </c>
      <c r="M9" s="93">
        <v>13</v>
      </c>
      <c r="N9" s="93">
        <v>14</v>
      </c>
      <c r="O9" s="93">
        <v>15</v>
      </c>
      <c r="P9" s="94">
        <v>16</v>
      </c>
      <c r="Q9" s="115">
        <v>17</v>
      </c>
    </row>
    <row r="10" spans="1:20" s="2" customFormat="1" ht="24.95" customHeight="1">
      <c r="A10" s="68"/>
      <c r="B10" s="59" t="s">
        <v>161</v>
      </c>
      <c r="C10" s="111"/>
      <c r="D10" s="76">
        <f t="shared" ref="D10:I10" si="0">SUM(D11:D35)</f>
        <v>35.984000000000002</v>
      </c>
      <c r="E10" s="60">
        <f t="shared" si="0"/>
        <v>15.388999999999999</v>
      </c>
      <c r="F10" s="60">
        <f t="shared" si="0"/>
        <v>1.8160000000000001</v>
      </c>
      <c r="G10" s="60">
        <f t="shared" si="0"/>
        <v>7.8960000000000008</v>
      </c>
      <c r="H10" s="60">
        <f t="shared" si="0"/>
        <v>5.3940000000000001</v>
      </c>
      <c r="I10" s="69">
        <f t="shared" si="0"/>
        <v>5.488999999999999</v>
      </c>
      <c r="J10" s="95">
        <f t="shared" ref="J10:O10" si="1">SUM(J11:J35)</f>
        <v>50.214999999999989</v>
      </c>
      <c r="K10" s="96">
        <f t="shared" si="1"/>
        <v>15.388999999999999</v>
      </c>
      <c r="L10" s="96">
        <f t="shared" si="1"/>
        <v>6.5989999999999993</v>
      </c>
      <c r="M10" s="96">
        <f t="shared" si="1"/>
        <v>1.8199999999999998</v>
      </c>
      <c r="N10" s="96">
        <f t="shared" si="1"/>
        <v>7.8960000000000008</v>
      </c>
      <c r="O10" s="96">
        <f t="shared" si="1"/>
        <v>10.850000000000001</v>
      </c>
      <c r="P10" s="97">
        <f>SUM(P11:P35)</f>
        <v>7.6609999999999987</v>
      </c>
      <c r="Q10" s="116"/>
      <c r="R10" s="20"/>
      <c r="S10" s="20">
        <f>K10+L10+M10</f>
        <v>23.808</v>
      </c>
      <c r="T10" s="20">
        <f>SUM(K10:P10)</f>
        <v>50.215000000000003</v>
      </c>
    </row>
    <row r="11" spans="1:20" s="28" customFormat="1" ht="24.95" customHeight="1">
      <c r="A11" s="70">
        <v>1</v>
      </c>
      <c r="B11" s="36" t="s">
        <v>166</v>
      </c>
      <c r="C11" s="112" t="s">
        <v>167</v>
      </c>
      <c r="D11" s="77">
        <v>0.88700000000000001</v>
      </c>
      <c r="E11" s="31"/>
      <c r="F11" s="31">
        <v>0.752</v>
      </c>
      <c r="G11" s="31"/>
      <c r="H11" s="80"/>
      <c r="I11" s="71">
        <f>D11-E11-F11-G11-H11</f>
        <v>0.13500000000000001</v>
      </c>
      <c r="J11" s="98">
        <f>SUM(K11:P11)</f>
        <v>0.88700000000000001</v>
      </c>
      <c r="K11" s="99"/>
      <c r="L11" s="99"/>
      <c r="M11" s="99">
        <v>0.752</v>
      </c>
      <c r="N11" s="99"/>
      <c r="O11" s="99"/>
      <c r="P11" s="100">
        <f>0.887-O11-N11-M11-K11</f>
        <v>0.13500000000000001</v>
      </c>
      <c r="Q11" s="117"/>
      <c r="T11" s="65"/>
    </row>
    <row r="12" spans="1:20" s="2" customFormat="1" ht="24.95" customHeight="1">
      <c r="A12" s="301">
        <v>2</v>
      </c>
      <c r="B12" s="62" t="s">
        <v>350</v>
      </c>
      <c r="C12" s="298" t="s">
        <v>351</v>
      </c>
      <c r="D12" s="319"/>
      <c r="E12" s="123"/>
      <c r="F12" s="123"/>
      <c r="G12" s="326"/>
      <c r="H12" s="81"/>
      <c r="I12" s="71">
        <f t="shared" ref="I12:I35" si="2">D12-E12-F12-G12-H12</f>
        <v>0</v>
      </c>
      <c r="J12" s="303">
        <v>10.682</v>
      </c>
      <c r="K12" s="305">
        <f>5.775+1.14</f>
        <v>6.915</v>
      </c>
      <c r="L12" s="101"/>
      <c r="M12" s="305">
        <v>3.4000000000000002E-2</v>
      </c>
      <c r="N12" s="305"/>
      <c r="O12" s="305">
        <f>J12-K12-M12-P12</f>
        <v>2.1030000000000006</v>
      </c>
      <c r="P12" s="328">
        <v>1.63</v>
      </c>
      <c r="Q12" s="321" t="s">
        <v>381</v>
      </c>
      <c r="R12" s="20"/>
    </row>
    <row r="13" spans="1:20" s="2" customFormat="1" ht="30.75" customHeight="1">
      <c r="A13" s="302"/>
      <c r="B13" s="62" t="s">
        <v>352</v>
      </c>
      <c r="C13" s="299"/>
      <c r="D13" s="320"/>
      <c r="E13" s="124"/>
      <c r="F13" s="124"/>
      <c r="G13" s="327"/>
      <c r="H13" s="82"/>
      <c r="I13" s="71">
        <f t="shared" si="2"/>
        <v>0</v>
      </c>
      <c r="J13" s="304"/>
      <c r="K13" s="306"/>
      <c r="L13" s="102"/>
      <c r="M13" s="306"/>
      <c r="N13" s="306"/>
      <c r="O13" s="306"/>
      <c r="P13" s="329"/>
      <c r="Q13" s="322"/>
    </row>
    <row r="14" spans="1:20" s="2" customFormat="1" ht="24.95" customHeight="1">
      <c r="A14" s="70">
        <v>3</v>
      </c>
      <c r="B14" s="38" t="s">
        <v>190</v>
      </c>
      <c r="C14" s="112" t="s">
        <v>168</v>
      </c>
      <c r="D14" s="77">
        <v>1.08</v>
      </c>
      <c r="E14" s="31"/>
      <c r="F14" s="31"/>
      <c r="G14" s="31">
        <v>0.91500000000000004</v>
      </c>
      <c r="H14" s="80"/>
      <c r="I14" s="71">
        <f t="shared" si="2"/>
        <v>0.16500000000000004</v>
      </c>
      <c r="J14" s="98">
        <f t="shared" ref="J14:J19" si="3">SUM(K14:P14)</f>
        <v>1.08</v>
      </c>
      <c r="K14" s="99"/>
      <c r="L14" s="99"/>
      <c r="M14" s="99"/>
      <c r="N14" s="99">
        <v>0.91500000000000004</v>
      </c>
      <c r="O14" s="99"/>
      <c r="P14" s="100">
        <f>1.08-O14-N14-M14-K14</f>
        <v>0.16500000000000004</v>
      </c>
      <c r="Q14" s="118"/>
    </row>
    <row r="15" spans="1:20" s="2" customFormat="1" ht="24.95" customHeight="1">
      <c r="A15" s="70">
        <v>4</v>
      </c>
      <c r="B15" s="38" t="s">
        <v>191</v>
      </c>
      <c r="C15" s="112" t="s">
        <v>169</v>
      </c>
      <c r="D15" s="77">
        <v>1.133</v>
      </c>
      <c r="E15" s="31"/>
      <c r="F15" s="31"/>
      <c r="G15" s="31">
        <v>0.96</v>
      </c>
      <c r="H15" s="80"/>
      <c r="I15" s="71">
        <f t="shared" si="2"/>
        <v>0.17300000000000004</v>
      </c>
      <c r="J15" s="98">
        <f t="shared" si="3"/>
        <v>1.133</v>
      </c>
      <c r="K15" s="99"/>
      <c r="L15" s="99"/>
      <c r="M15" s="99"/>
      <c r="N15" s="99">
        <v>0.96</v>
      </c>
      <c r="O15" s="99"/>
      <c r="P15" s="100">
        <f>1.133-O15-N15-M15-K15</f>
        <v>0.17300000000000004</v>
      </c>
      <c r="Q15" s="118"/>
    </row>
    <row r="16" spans="1:20" s="2" customFormat="1" ht="24.95" customHeight="1">
      <c r="A16" s="70">
        <v>5</v>
      </c>
      <c r="B16" s="38" t="s">
        <v>382</v>
      </c>
      <c r="C16" s="112" t="s">
        <v>374</v>
      </c>
      <c r="D16" s="77">
        <v>6.8140000000000001</v>
      </c>
      <c r="E16" s="31">
        <v>5.7750000000000004</v>
      </c>
      <c r="F16" s="31"/>
      <c r="G16" s="31"/>
      <c r="H16" s="80"/>
      <c r="I16" s="71">
        <f t="shared" si="2"/>
        <v>1.0389999999999997</v>
      </c>
      <c r="J16" s="98"/>
      <c r="K16" s="99"/>
      <c r="L16" s="99"/>
      <c r="M16" s="99"/>
      <c r="N16" s="99"/>
      <c r="O16" s="99"/>
      <c r="P16" s="100"/>
      <c r="Q16" s="119" t="s">
        <v>383</v>
      </c>
    </row>
    <row r="17" spans="1:17" s="2" customFormat="1" ht="24.95" customHeight="1">
      <c r="A17" s="70">
        <v>6</v>
      </c>
      <c r="B17" s="38" t="s">
        <v>192</v>
      </c>
      <c r="C17" s="112" t="s">
        <v>170</v>
      </c>
      <c r="D17" s="77">
        <v>2.3679999999999999</v>
      </c>
      <c r="E17" s="31"/>
      <c r="F17" s="31"/>
      <c r="G17" s="31">
        <v>2.0070000000000001</v>
      </c>
      <c r="H17" s="80"/>
      <c r="I17" s="71">
        <f t="shared" si="2"/>
        <v>0.36099999999999977</v>
      </c>
      <c r="J17" s="98">
        <f t="shared" si="3"/>
        <v>2.3679999999999999</v>
      </c>
      <c r="K17" s="99"/>
      <c r="L17" s="99"/>
      <c r="M17" s="99"/>
      <c r="N17" s="99">
        <v>2.0070000000000001</v>
      </c>
      <c r="O17" s="99"/>
      <c r="P17" s="100">
        <f>2.368-O17-N17-M17-K17</f>
        <v>0.36099999999999977</v>
      </c>
      <c r="Q17" s="118"/>
    </row>
    <row r="18" spans="1:17" s="2" customFormat="1" ht="24.95" customHeight="1">
      <c r="A18" s="70">
        <v>7</v>
      </c>
      <c r="B18" s="38" t="s">
        <v>193</v>
      </c>
      <c r="C18" s="112" t="s">
        <v>171</v>
      </c>
      <c r="D18" s="77">
        <v>2.3679999999999999</v>
      </c>
      <c r="E18" s="31"/>
      <c r="F18" s="31"/>
      <c r="G18" s="31">
        <v>2.0070000000000001</v>
      </c>
      <c r="H18" s="80"/>
      <c r="I18" s="71">
        <f t="shared" si="2"/>
        <v>0.36099999999999977</v>
      </c>
      <c r="J18" s="98">
        <f t="shared" si="3"/>
        <v>2.3679999999999999</v>
      </c>
      <c r="K18" s="99"/>
      <c r="L18" s="99"/>
      <c r="M18" s="99"/>
      <c r="N18" s="99">
        <v>2.0070000000000001</v>
      </c>
      <c r="O18" s="99"/>
      <c r="P18" s="100">
        <f>2.368-O18-N18-M18-K18</f>
        <v>0.36099999999999977</v>
      </c>
      <c r="Q18" s="118"/>
    </row>
    <row r="19" spans="1:17" s="2" customFormat="1" ht="24.95" customHeight="1">
      <c r="A19" s="70">
        <v>8</v>
      </c>
      <c r="B19" s="38" t="s">
        <v>194</v>
      </c>
      <c r="C19" s="112" t="s">
        <v>172</v>
      </c>
      <c r="D19" s="77">
        <v>2.3679999999999999</v>
      </c>
      <c r="E19" s="31">
        <v>2.0070000000000001</v>
      </c>
      <c r="F19" s="31"/>
      <c r="G19" s="31"/>
      <c r="H19" s="80"/>
      <c r="I19" s="71">
        <f t="shared" si="2"/>
        <v>0.36099999999999977</v>
      </c>
      <c r="J19" s="98">
        <f t="shared" si="3"/>
        <v>2.3679999999999999</v>
      </c>
      <c r="K19" s="99">
        <v>2.0070000000000001</v>
      </c>
      <c r="L19" s="99"/>
      <c r="M19" s="99"/>
      <c r="N19" s="99"/>
      <c r="O19" s="99"/>
      <c r="P19" s="100">
        <f>2.368-O19-N19-M19-K19</f>
        <v>0.36099999999999977</v>
      </c>
      <c r="Q19" s="118"/>
    </row>
    <row r="20" spans="1:17" s="2" customFormat="1" ht="31.5" customHeight="1">
      <c r="A20" s="70">
        <v>9</v>
      </c>
      <c r="B20" s="38" t="s">
        <v>361</v>
      </c>
      <c r="C20" s="113" t="s">
        <v>353</v>
      </c>
      <c r="D20" s="78"/>
      <c r="E20" s="63"/>
      <c r="F20" s="63"/>
      <c r="G20" s="63"/>
      <c r="H20" s="83"/>
      <c r="I20" s="71">
        <f t="shared" si="2"/>
        <v>0</v>
      </c>
      <c r="J20" s="103">
        <f t="shared" ref="J20:J33" si="4">SUM(K20:P20)</f>
        <v>2.4500000000000002</v>
      </c>
      <c r="K20" s="104"/>
      <c r="L20" s="104"/>
      <c r="M20" s="104"/>
      <c r="N20" s="104"/>
      <c r="O20" s="104">
        <v>2.0760000000000001</v>
      </c>
      <c r="P20" s="105">
        <f>2.45-O20-N20-M20-K20</f>
        <v>0.37400000000000011</v>
      </c>
      <c r="Q20" s="119" t="s">
        <v>386</v>
      </c>
    </row>
    <row r="21" spans="1:17" s="2" customFormat="1" ht="24.95" customHeight="1">
      <c r="A21" s="70">
        <v>10</v>
      </c>
      <c r="B21" s="38" t="s">
        <v>195</v>
      </c>
      <c r="C21" s="112" t="s">
        <v>173</v>
      </c>
      <c r="D21" s="77">
        <v>2.3679999999999999</v>
      </c>
      <c r="E21" s="31">
        <v>2.0070000000000001</v>
      </c>
      <c r="F21" s="31"/>
      <c r="G21" s="31"/>
      <c r="H21" s="80"/>
      <c r="I21" s="71">
        <f t="shared" si="2"/>
        <v>0.36099999999999977</v>
      </c>
      <c r="J21" s="98">
        <f t="shared" si="4"/>
        <v>2.3679999999999999</v>
      </c>
      <c r="K21" s="99">
        <v>2.0070000000000001</v>
      </c>
      <c r="L21" s="99"/>
      <c r="M21" s="99"/>
      <c r="N21" s="99"/>
      <c r="O21" s="99"/>
      <c r="P21" s="100">
        <f>2.368-O21-N21-M21-K21</f>
        <v>0.36099999999999977</v>
      </c>
      <c r="Q21" s="118"/>
    </row>
    <row r="22" spans="1:17" s="2" customFormat="1" ht="24.95" customHeight="1">
      <c r="A22" s="70">
        <v>11</v>
      </c>
      <c r="B22" s="38" t="s">
        <v>196</v>
      </c>
      <c r="C22" s="112" t="s">
        <v>174</v>
      </c>
      <c r="D22" s="77">
        <v>2.3679999999999999</v>
      </c>
      <c r="E22" s="31"/>
      <c r="F22" s="31"/>
      <c r="G22" s="31">
        <v>2.0070000000000001</v>
      </c>
      <c r="H22" s="80"/>
      <c r="I22" s="71">
        <f t="shared" si="2"/>
        <v>0.36099999999999977</v>
      </c>
      <c r="J22" s="98">
        <f t="shared" si="4"/>
        <v>2.3679999999999999</v>
      </c>
      <c r="K22" s="99"/>
      <c r="L22" s="99"/>
      <c r="M22" s="99"/>
      <c r="N22" s="99">
        <v>2.0070000000000001</v>
      </c>
      <c r="O22" s="99"/>
      <c r="P22" s="100">
        <f>2.368-O22-N22-M22-K22</f>
        <v>0.36099999999999977</v>
      </c>
      <c r="Q22" s="118"/>
    </row>
    <row r="23" spans="1:17" s="2" customFormat="1" ht="24.95" customHeight="1">
      <c r="A23" s="70">
        <v>12</v>
      </c>
      <c r="B23" s="38" t="s">
        <v>197</v>
      </c>
      <c r="C23" s="112" t="s">
        <v>175</v>
      </c>
      <c r="D23" s="77">
        <v>2.4369999999999998</v>
      </c>
      <c r="E23" s="31">
        <v>2.0649999999999999</v>
      </c>
      <c r="F23" s="31"/>
      <c r="G23" s="31"/>
      <c r="H23" s="80"/>
      <c r="I23" s="71">
        <f t="shared" si="2"/>
        <v>0.37199999999999989</v>
      </c>
      <c r="J23" s="98">
        <f t="shared" si="4"/>
        <v>2.4369999999999998</v>
      </c>
      <c r="K23" s="99">
        <v>2.0649999999999999</v>
      </c>
      <c r="L23" s="99"/>
      <c r="M23" s="99"/>
      <c r="N23" s="99"/>
      <c r="O23" s="99"/>
      <c r="P23" s="100">
        <f>2.437-O23-N23-M23-K23</f>
        <v>0.37199999999999989</v>
      </c>
      <c r="Q23" s="118"/>
    </row>
    <row r="24" spans="1:17" s="2" customFormat="1" ht="24.95" customHeight="1">
      <c r="A24" s="70">
        <v>13</v>
      </c>
      <c r="B24" s="29" t="s">
        <v>176</v>
      </c>
      <c r="C24" s="112" t="s">
        <v>177</v>
      </c>
      <c r="D24" s="77">
        <v>5.1999999999999998E-2</v>
      </c>
      <c r="E24" s="31"/>
      <c r="F24" s="31">
        <v>4.3999999999999997E-2</v>
      </c>
      <c r="G24" s="31"/>
      <c r="H24" s="80"/>
      <c r="I24" s="71">
        <f t="shared" si="2"/>
        <v>8.0000000000000002E-3</v>
      </c>
      <c r="J24" s="98">
        <f t="shared" si="4"/>
        <v>5.1999999999999998E-2</v>
      </c>
      <c r="K24" s="106"/>
      <c r="L24" s="106"/>
      <c r="M24" s="106">
        <v>4.3999999999999997E-2</v>
      </c>
      <c r="N24" s="106"/>
      <c r="O24" s="106"/>
      <c r="P24" s="107">
        <f>0.052-O24-N24-M24-K24</f>
        <v>8.0000000000000002E-3</v>
      </c>
      <c r="Q24" s="118"/>
    </row>
    <row r="25" spans="1:17" s="2" customFormat="1" ht="24.95" customHeight="1">
      <c r="A25" s="70">
        <v>14</v>
      </c>
      <c r="B25" s="29" t="s">
        <v>375</v>
      </c>
      <c r="C25" s="112" t="s">
        <v>376</v>
      </c>
      <c r="D25" s="77">
        <v>7.1999999999999995E-2</v>
      </c>
      <c r="E25" s="31"/>
      <c r="F25" s="31">
        <v>6.0999999999999999E-2</v>
      </c>
      <c r="G25" s="31"/>
      <c r="H25" s="80"/>
      <c r="I25" s="71">
        <f t="shared" si="2"/>
        <v>1.0999999999999996E-2</v>
      </c>
      <c r="J25" s="98"/>
      <c r="K25" s="106"/>
      <c r="L25" s="106"/>
      <c r="M25" s="106"/>
      <c r="N25" s="106"/>
      <c r="O25" s="106"/>
      <c r="P25" s="107"/>
      <c r="Q25" s="118"/>
    </row>
    <row r="26" spans="1:17" s="2" customFormat="1" ht="24.95" customHeight="1">
      <c r="A26" s="70">
        <v>15</v>
      </c>
      <c r="B26" s="40" t="s">
        <v>178</v>
      </c>
      <c r="C26" s="112" t="s">
        <v>179</v>
      </c>
      <c r="D26" s="77">
        <v>6.7000000000000004E-2</v>
      </c>
      <c r="E26" s="31"/>
      <c r="F26" s="31">
        <v>5.7000000000000002E-2</v>
      </c>
      <c r="G26" s="31"/>
      <c r="H26" s="80"/>
      <c r="I26" s="71">
        <f t="shared" si="2"/>
        <v>1.0000000000000002E-2</v>
      </c>
      <c r="J26" s="98">
        <f t="shared" si="4"/>
        <v>6.7000000000000004E-2</v>
      </c>
      <c r="K26" s="99"/>
      <c r="L26" s="99"/>
      <c r="M26" s="99">
        <v>5.7000000000000002E-2</v>
      </c>
      <c r="N26" s="99"/>
      <c r="O26" s="99"/>
      <c r="P26" s="100">
        <f>0.067-O26-N26-M26-K26</f>
        <v>1.0000000000000002E-2</v>
      </c>
      <c r="Q26" s="118"/>
    </row>
    <row r="27" spans="1:17" s="2" customFormat="1" ht="24.95" customHeight="1">
      <c r="A27" s="70">
        <v>16</v>
      </c>
      <c r="B27" s="36" t="s">
        <v>180</v>
      </c>
      <c r="C27" s="112" t="s">
        <v>181</v>
      </c>
      <c r="D27" s="77">
        <v>0.125</v>
      </c>
      <c r="E27" s="31"/>
      <c r="F27" s="31">
        <v>0.106</v>
      </c>
      <c r="G27" s="31"/>
      <c r="H27" s="80"/>
      <c r="I27" s="71">
        <f t="shared" si="2"/>
        <v>1.9000000000000003E-2</v>
      </c>
      <c r="J27" s="98">
        <f t="shared" si="4"/>
        <v>0.20200000000000001</v>
      </c>
      <c r="K27" s="99"/>
      <c r="L27" s="99"/>
      <c r="M27" s="99">
        <v>0.17100000000000001</v>
      </c>
      <c r="N27" s="99"/>
      <c r="O27" s="99"/>
      <c r="P27" s="100">
        <f>0.202-O27-N27-M27-K27</f>
        <v>3.1E-2</v>
      </c>
      <c r="Q27" s="118"/>
    </row>
    <row r="28" spans="1:17" s="2" customFormat="1" ht="24.95" customHeight="1">
      <c r="A28" s="70">
        <v>17</v>
      </c>
      <c r="B28" s="36" t="s">
        <v>354</v>
      </c>
      <c r="C28" s="112" t="s">
        <v>182</v>
      </c>
      <c r="D28" s="77">
        <v>0.49099999999999999</v>
      </c>
      <c r="E28" s="31"/>
      <c r="F28" s="31">
        <v>0.41599999999999998</v>
      </c>
      <c r="G28" s="31"/>
      <c r="H28" s="80"/>
      <c r="I28" s="71">
        <f t="shared" si="2"/>
        <v>7.5000000000000011E-2</v>
      </c>
      <c r="J28" s="98">
        <f t="shared" si="4"/>
        <v>0.51500000000000001</v>
      </c>
      <c r="K28" s="99"/>
      <c r="L28" s="99"/>
      <c r="M28" s="99">
        <v>0.436</v>
      </c>
      <c r="N28" s="99"/>
      <c r="O28" s="99"/>
      <c r="P28" s="100">
        <f>0.515-O28-N28-M28-K28</f>
        <v>7.9000000000000015E-2</v>
      </c>
      <c r="Q28" s="118"/>
    </row>
    <row r="29" spans="1:17" s="2" customFormat="1" ht="24.95" customHeight="1">
      <c r="A29" s="70">
        <v>18</v>
      </c>
      <c r="B29" s="36" t="s">
        <v>183</v>
      </c>
      <c r="C29" s="112" t="s">
        <v>184</v>
      </c>
      <c r="D29" s="77">
        <v>0.125</v>
      </c>
      <c r="E29" s="31"/>
      <c r="F29" s="31">
        <v>0.106</v>
      </c>
      <c r="G29" s="31"/>
      <c r="H29" s="80"/>
      <c r="I29" s="71">
        <f t="shared" si="2"/>
        <v>1.9000000000000003E-2</v>
      </c>
      <c r="J29" s="98">
        <f t="shared" si="4"/>
        <v>0.219</v>
      </c>
      <c r="K29" s="99"/>
      <c r="L29" s="99"/>
      <c r="M29" s="99">
        <v>0.186</v>
      </c>
      <c r="N29" s="99"/>
      <c r="O29" s="99"/>
      <c r="P29" s="100">
        <f>0.219-O29-N29-M29-K29</f>
        <v>3.3000000000000002E-2</v>
      </c>
      <c r="Q29" s="118"/>
    </row>
    <row r="30" spans="1:17" s="41" customFormat="1" ht="24.95" customHeight="1">
      <c r="A30" s="70">
        <v>19</v>
      </c>
      <c r="B30" s="36" t="s">
        <v>185</v>
      </c>
      <c r="C30" s="112" t="s">
        <v>186</v>
      </c>
      <c r="D30" s="77">
        <v>0.23</v>
      </c>
      <c r="E30" s="31"/>
      <c r="F30" s="31">
        <v>0.19500000000000001</v>
      </c>
      <c r="G30" s="31"/>
      <c r="H30" s="80"/>
      <c r="I30" s="71">
        <f t="shared" si="2"/>
        <v>3.5000000000000003E-2</v>
      </c>
      <c r="J30" s="98">
        <f t="shared" si="4"/>
        <v>0.16500000000000001</v>
      </c>
      <c r="K30" s="99"/>
      <c r="L30" s="99"/>
      <c r="M30" s="99">
        <v>0.14000000000000001</v>
      </c>
      <c r="N30" s="99"/>
      <c r="O30" s="99"/>
      <c r="P30" s="100">
        <f>0.165-O30-N30-M30-K30</f>
        <v>2.4999999999999994E-2</v>
      </c>
      <c r="Q30" s="121"/>
    </row>
    <row r="31" spans="1:17" s="41" customFormat="1" ht="24.95" customHeight="1">
      <c r="A31" s="70">
        <v>20</v>
      </c>
      <c r="B31" s="36" t="s">
        <v>355</v>
      </c>
      <c r="C31" s="112" t="s">
        <v>187</v>
      </c>
      <c r="D31" s="77">
        <v>1.4390000000000001</v>
      </c>
      <c r="E31" s="31">
        <v>1.1399999999999999</v>
      </c>
      <c r="F31" s="31">
        <v>7.9000000000000001E-2</v>
      </c>
      <c r="G31" s="31"/>
      <c r="H31" s="80"/>
      <c r="I31" s="71">
        <f t="shared" si="2"/>
        <v>0.22000000000000014</v>
      </c>
      <c r="J31" s="98">
        <v>1.325</v>
      </c>
      <c r="K31" s="99"/>
      <c r="L31" s="99"/>
      <c r="M31" s="99"/>
      <c r="N31" s="99"/>
      <c r="O31" s="99">
        <f>J31-P31</f>
        <v>1.123</v>
      </c>
      <c r="P31" s="100">
        <v>0.20200000000000001</v>
      </c>
      <c r="Q31" s="121"/>
    </row>
    <row r="32" spans="1:17" s="41" customFormat="1" ht="24.95" customHeight="1">
      <c r="A32" s="70">
        <v>21</v>
      </c>
      <c r="B32" s="36" t="s">
        <v>356</v>
      </c>
      <c r="C32" s="112" t="s">
        <v>188</v>
      </c>
      <c r="D32" s="77">
        <v>4.2720000000000002</v>
      </c>
      <c r="E32" s="31">
        <v>2.395</v>
      </c>
      <c r="F32" s="31"/>
      <c r="G32" s="31"/>
      <c r="H32" s="80">
        <v>1.2250000000000001</v>
      </c>
      <c r="I32" s="71">
        <f t="shared" si="2"/>
        <v>0.65200000000000014</v>
      </c>
      <c r="J32" s="98">
        <f>SUM(K32:P32)</f>
        <v>4.2720000000000002</v>
      </c>
      <c r="K32" s="99">
        <v>2.395</v>
      </c>
      <c r="L32" s="99"/>
      <c r="M32" s="99"/>
      <c r="N32" s="99"/>
      <c r="O32" s="99">
        <v>1.2250000000000001</v>
      </c>
      <c r="P32" s="100">
        <v>0.65200000000000014</v>
      </c>
      <c r="Q32" s="121"/>
    </row>
    <row r="33" spans="1:53" ht="24.95" customHeight="1">
      <c r="A33" s="70">
        <v>22</v>
      </c>
      <c r="B33" s="36" t="s">
        <v>384</v>
      </c>
      <c r="C33" s="112" t="s">
        <v>189</v>
      </c>
      <c r="D33" s="77">
        <v>4.92</v>
      </c>
      <c r="E33" s="31"/>
      <c r="F33" s="31"/>
      <c r="G33" s="31"/>
      <c r="H33" s="80">
        <v>4.1689999999999996</v>
      </c>
      <c r="I33" s="71">
        <f t="shared" si="2"/>
        <v>0.75100000000000033</v>
      </c>
      <c r="J33" s="98">
        <f t="shared" si="4"/>
        <v>4.92</v>
      </c>
      <c r="K33" s="99"/>
      <c r="L33" s="99"/>
      <c r="M33" s="99"/>
      <c r="N33" s="99"/>
      <c r="O33" s="99">
        <f>4.92-0.751</f>
        <v>4.1689999999999996</v>
      </c>
      <c r="P33" s="100">
        <v>0.751</v>
      </c>
      <c r="Q33" s="122"/>
    </row>
    <row r="34" spans="1:53" ht="24.95" customHeight="1">
      <c r="A34" s="72">
        <v>23</v>
      </c>
      <c r="B34" s="62" t="s">
        <v>357</v>
      </c>
      <c r="C34" s="113" t="s">
        <v>358</v>
      </c>
      <c r="D34" s="78">
        <v>0</v>
      </c>
      <c r="E34" s="63"/>
      <c r="F34" s="63"/>
      <c r="G34" s="63"/>
      <c r="H34" s="83"/>
      <c r="I34" s="71">
        <f t="shared" si="2"/>
        <v>0</v>
      </c>
      <c r="J34" s="103">
        <v>0.48899999999999999</v>
      </c>
      <c r="K34" s="104"/>
      <c r="L34" s="104">
        <v>0.41399999999999998</v>
      </c>
      <c r="M34" s="104"/>
      <c r="N34" s="104"/>
      <c r="O34" s="104">
        <f>J34-L34-P34</f>
        <v>0</v>
      </c>
      <c r="P34" s="105">
        <v>7.4999999999999997E-2</v>
      </c>
      <c r="Q34" s="120" t="s">
        <v>387</v>
      </c>
    </row>
    <row r="35" spans="1:53" s="50" customFormat="1" ht="24.95" customHeight="1" thickBot="1">
      <c r="A35" s="73">
        <v>24</v>
      </c>
      <c r="B35" s="74" t="s">
        <v>359</v>
      </c>
      <c r="C35" s="114" t="s">
        <v>360</v>
      </c>
      <c r="D35" s="79">
        <v>0</v>
      </c>
      <c r="E35" s="75"/>
      <c r="F35" s="75"/>
      <c r="G35" s="75"/>
      <c r="H35" s="84"/>
      <c r="I35" s="125">
        <f t="shared" si="2"/>
        <v>0</v>
      </c>
      <c r="J35" s="108">
        <v>7.48</v>
      </c>
      <c r="K35" s="109"/>
      <c r="L35" s="109">
        <v>6.1849999999999996</v>
      </c>
      <c r="M35" s="109"/>
      <c r="N35" s="109"/>
      <c r="O35" s="109">
        <f>J35-L35-P35</f>
        <v>0.1540000000000008</v>
      </c>
      <c r="P35" s="110">
        <v>1.141</v>
      </c>
      <c r="Q35" s="120" t="s">
        <v>388</v>
      </c>
      <c r="S35" s="52"/>
      <c r="T35" s="52"/>
      <c r="U35" s="52"/>
      <c r="V35" s="52"/>
      <c r="W35" s="52"/>
      <c r="X35" s="52"/>
      <c r="Y35" s="315"/>
      <c r="Z35" s="315"/>
      <c r="AA35" s="52"/>
      <c r="AB35" s="52"/>
      <c r="AC35" s="52"/>
      <c r="AF35" s="52"/>
      <c r="AG35" s="52"/>
      <c r="AH35" s="52"/>
      <c r="AI35" s="52"/>
      <c r="AJ35" s="52"/>
      <c r="AK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</row>
    <row r="37" spans="1:53">
      <c r="I37" s="126"/>
    </row>
    <row r="38" spans="1:53" ht="15.75">
      <c r="A38" s="300" t="s">
        <v>319</v>
      </c>
      <c r="B38" s="300"/>
      <c r="C38" s="51"/>
      <c r="D38" s="51"/>
      <c r="E38" s="51"/>
      <c r="F38" s="51"/>
      <c r="G38" s="51"/>
      <c r="H38" s="51"/>
      <c r="I38" s="51"/>
      <c r="J38" s="49"/>
      <c r="K38" s="52"/>
      <c r="L38" s="52"/>
      <c r="M38" s="53" t="s">
        <v>349</v>
      </c>
      <c r="N38" s="54"/>
      <c r="O38" s="54"/>
      <c r="P38" s="50"/>
    </row>
  </sheetData>
  <mergeCells count="26">
    <mergeCell ref="Y35:Z35"/>
    <mergeCell ref="K6:P6"/>
    <mergeCell ref="K7:P7"/>
    <mergeCell ref="J6:J8"/>
    <mergeCell ref="D12:D13"/>
    <mergeCell ref="E6:I6"/>
    <mergeCell ref="E7:I7"/>
    <mergeCell ref="Q12:Q13"/>
    <mergeCell ref="Q5:Q8"/>
    <mergeCell ref="G12:G13"/>
    <mergeCell ref="M12:M13"/>
    <mergeCell ref="N12:N13"/>
    <mergeCell ref="O12:O13"/>
    <mergeCell ref="P12:P13"/>
    <mergeCell ref="D5:D8"/>
    <mergeCell ref="N1:P1"/>
    <mergeCell ref="J5:P5"/>
    <mergeCell ref="C12:C13"/>
    <mergeCell ref="A38:B38"/>
    <mergeCell ref="A12:A13"/>
    <mergeCell ref="J12:J13"/>
    <mergeCell ref="K12:K13"/>
    <mergeCell ref="A5:A8"/>
    <mergeCell ref="B5:B8"/>
    <mergeCell ref="C5:C8"/>
    <mergeCell ref="E5:I5"/>
  </mergeCells>
  <pageMargins left="0.19685039370078741" right="0.19685039370078741" top="0.59055118110236227" bottom="0.43307086614173229" header="0" footer="0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3"/>
  <sheetViews>
    <sheetView topLeftCell="C1" workbookViewId="0">
      <selection activeCell="L15" sqref="L15"/>
    </sheetView>
  </sheetViews>
  <sheetFormatPr defaultRowHeight="15"/>
  <cols>
    <col min="1" max="1" width="4.7109375" style="34" customWidth="1"/>
    <col min="2" max="2" width="59.5703125" customWidth="1"/>
    <col min="3" max="3" width="21.28515625" customWidth="1"/>
    <col min="4" max="4" width="13.28515625" customWidth="1"/>
    <col min="5" max="5" width="12.5703125" customWidth="1"/>
    <col min="6" max="6" width="11.28515625" customWidth="1"/>
    <col min="7" max="7" width="15.42578125" customWidth="1"/>
    <col min="8" max="8" width="9.7109375" customWidth="1"/>
    <col min="9" max="9" width="12" customWidth="1"/>
  </cols>
  <sheetData>
    <row r="1" spans="1:11">
      <c r="G1" s="294" t="s">
        <v>364</v>
      </c>
      <c r="H1" s="294"/>
      <c r="I1" s="294"/>
    </row>
    <row r="3" spans="1:11">
      <c r="B3" s="55" t="s">
        <v>324</v>
      </c>
      <c r="C3" s="55"/>
      <c r="E3" s="23"/>
      <c r="F3" s="23"/>
      <c r="G3" s="23"/>
      <c r="H3" s="23"/>
      <c r="I3" s="23"/>
    </row>
    <row r="5" spans="1:11" s="8" customFormat="1" ht="22.5" customHeight="1">
      <c r="A5" s="310" t="s">
        <v>0</v>
      </c>
      <c r="B5" s="310" t="s">
        <v>158</v>
      </c>
      <c r="C5" s="310" t="s">
        <v>159</v>
      </c>
      <c r="D5" s="336" t="s">
        <v>162</v>
      </c>
      <c r="E5" s="333" t="s">
        <v>163</v>
      </c>
      <c r="F5" s="334"/>
      <c r="G5" s="334"/>
      <c r="H5" s="334"/>
      <c r="I5" s="335"/>
    </row>
    <row r="6" spans="1:11" s="8" customFormat="1" ht="19.5" customHeight="1">
      <c r="A6" s="310"/>
      <c r="B6" s="310"/>
      <c r="C6" s="310"/>
      <c r="D6" s="337"/>
      <c r="E6" s="310" t="s">
        <v>160</v>
      </c>
      <c r="F6" s="310"/>
      <c r="G6" s="310"/>
      <c r="H6" s="310"/>
      <c r="I6" s="310"/>
    </row>
    <row r="7" spans="1:11" s="8" customFormat="1" ht="82.5" customHeight="1">
      <c r="A7" s="310"/>
      <c r="B7" s="310"/>
      <c r="C7" s="310"/>
      <c r="D7" s="338"/>
      <c r="E7" s="32" t="s">
        <v>164</v>
      </c>
      <c r="F7" s="32" t="s">
        <v>36</v>
      </c>
      <c r="G7" s="24" t="s">
        <v>165</v>
      </c>
      <c r="H7" s="32" t="s">
        <v>33</v>
      </c>
      <c r="I7" s="32" t="s">
        <v>41</v>
      </c>
    </row>
    <row r="8" spans="1:11" s="2" customFormat="1" ht="12.7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11" s="2" customFormat="1" ht="17.25" customHeight="1">
      <c r="A9" s="26"/>
      <c r="B9" s="25" t="s">
        <v>161</v>
      </c>
      <c r="C9" s="26"/>
      <c r="D9" s="27">
        <f>SUM(D10:D30)</f>
        <v>23.268000000000001</v>
      </c>
      <c r="E9" s="27">
        <f>SUM(E10:E30)</f>
        <v>16.004000000000005</v>
      </c>
      <c r="F9" s="27">
        <f t="shared" ref="F9:I9" si="0">SUM(F10:F30)</f>
        <v>1.8160000000000001</v>
      </c>
      <c r="G9" s="27">
        <f t="shared" si="0"/>
        <v>0</v>
      </c>
      <c r="H9" s="27">
        <f t="shared" si="0"/>
        <v>1.899</v>
      </c>
      <c r="I9" s="27">
        <f t="shared" si="0"/>
        <v>3.548999999999999</v>
      </c>
      <c r="J9" s="20"/>
      <c r="K9" s="20">
        <f>D9-I9</f>
        <v>19.719000000000001</v>
      </c>
    </row>
    <row r="10" spans="1:11" s="28" customFormat="1" ht="27.75" customHeight="1">
      <c r="A10" s="33">
        <v>1</v>
      </c>
      <c r="B10" s="36" t="s">
        <v>198</v>
      </c>
      <c r="C10" s="30" t="s">
        <v>199</v>
      </c>
      <c r="D10" s="31">
        <f>SUM(E10:I10)</f>
        <v>1.462</v>
      </c>
      <c r="E10" s="31"/>
      <c r="F10" s="31"/>
      <c r="G10" s="31"/>
      <c r="H10" s="42">
        <v>1.2390000000000001</v>
      </c>
      <c r="I10" s="31">
        <f>1.462-H10-G10-F10-E10</f>
        <v>0.22299999999999986</v>
      </c>
    </row>
    <row r="11" spans="1:11" s="2" customFormat="1" ht="27.75" customHeight="1">
      <c r="A11" s="33">
        <v>2</v>
      </c>
      <c r="B11" s="29" t="s">
        <v>226</v>
      </c>
      <c r="C11" s="30" t="s">
        <v>200</v>
      </c>
      <c r="D11" s="31">
        <f t="shared" ref="D11:D24" si="1">SUM(E11:I11)</f>
        <v>1.1259999999999999</v>
      </c>
      <c r="E11" s="31">
        <v>0.95399999999999996</v>
      </c>
      <c r="F11" s="31"/>
      <c r="G11" s="31"/>
      <c r="H11" s="31"/>
      <c r="I11" s="31">
        <f>1.126-H11-G11-F11-E11</f>
        <v>0.17199999999999993</v>
      </c>
    </row>
    <row r="12" spans="1:11" s="2" customFormat="1" ht="27.75" customHeight="1">
      <c r="A12" s="33">
        <v>3</v>
      </c>
      <c r="B12" s="29" t="s">
        <v>227</v>
      </c>
      <c r="C12" s="30" t="s">
        <v>201</v>
      </c>
      <c r="D12" s="31">
        <f t="shared" si="1"/>
        <v>1.1259999999999999</v>
      </c>
      <c r="E12" s="31">
        <v>0.95399999999999996</v>
      </c>
      <c r="F12" s="31"/>
      <c r="G12" s="31"/>
      <c r="H12" s="31"/>
      <c r="I12" s="31">
        <f>1.126-H12-G12-F12-E12</f>
        <v>0.17199999999999993</v>
      </c>
    </row>
    <row r="13" spans="1:11" s="2" customFormat="1" ht="42.75" customHeight="1">
      <c r="A13" s="33">
        <v>4</v>
      </c>
      <c r="B13" s="29" t="s">
        <v>228</v>
      </c>
      <c r="C13" s="30" t="s">
        <v>202</v>
      </c>
      <c r="D13" s="31">
        <f t="shared" si="1"/>
        <v>0.92900000000000005</v>
      </c>
      <c r="E13" s="31">
        <v>0.78700000000000003</v>
      </c>
      <c r="F13" s="31"/>
      <c r="G13" s="31"/>
      <c r="H13" s="31"/>
      <c r="I13" s="31">
        <f>0.929-H13-G13-F13-E13</f>
        <v>0.14200000000000002</v>
      </c>
    </row>
    <row r="14" spans="1:11" s="2" customFormat="1" ht="27.75" customHeight="1">
      <c r="A14" s="33">
        <v>5</v>
      </c>
      <c r="B14" s="29" t="s">
        <v>229</v>
      </c>
      <c r="C14" s="30" t="s">
        <v>203</v>
      </c>
      <c r="D14" s="31">
        <f t="shared" si="1"/>
        <v>2.4700000000000002</v>
      </c>
      <c r="E14" s="31">
        <v>2.093</v>
      </c>
      <c r="F14" s="31"/>
      <c r="G14" s="31"/>
      <c r="H14" s="31"/>
      <c r="I14" s="31">
        <f>2.47-H14-G14-F14-E14</f>
        <v>0.37700000000000022</v>
      </c>
    </row>
    <row r="15" spans="1:11" s="2" customFormat="1" ht="27.75" customHeight="1">
      <c r="A15" s="33">
        <v>6</v>
      </c>
      <c r="B15" s="29" t="s">
        <v>230</v>
      </c>
      <c r="C15" s="30" t="s">
        <v>204</v>
      </c>
      <c r="D15" s="31">
        <f t="shared" si="1"/>
        <v>1.647</v>
      </c>
      <c r="E15" s="31">
        <v>1.3959999999999999</v>
      </c>
      <c r="F15" s="31"/>
      <c r="G15" s="31"/>
      <c r="H15" s="31"/>
      <c r="I15" s="31">
        <f>1.647-H15-G15-F15-E15</f>
        <v>0.25100000000000011</v>
      </c>
    </row>
    <row r="16" spans="1:11" s="2" customFormat="1" ht="27.75" customHeight="1">
      <c r="A16" s="33">
        <v>7</v>
      </c>
      <c r="B16" s="29" t="s">
        <v>231</v>
      </c>
      <c r="C16" s="30" t="s">
        <v>205</v>
      </c>
      <c r="D16" s="31">
        <f t="shared" si="1"/>
        <v>1.1259999999999999</v>
      </c>
      <c r="E16" s="31">
        <v>0.95399999999999996</v>
      </c>
      <c r="F16" s="31"/>
      <c r="G16" s="31"/>
      <c r="H16" s="31"/>
      <c r="I16" s="31">
        <f>1.126-H16-G16-F16-E16</f>
        <v>0.17199999999999993</v>
      </c>
    </row>
    <row r="17" spans="1:9" s="2" customFormat="1" ht="27.75" customHeight="1">
      <c r="A17" s="33">
        <v>8</v>
      </c>
      <c r="B17" s="29" t="s">
        <v>232</v>
      </c>
      <c r="C17" s="30" t="s">
        <v>206</v>
      </c>
      <c r="D17" s="31">
        <f t="shared" si="1"/>
        <v>1.1259999999999999</v>
      </c>
      <c r="E17" s="31">
        <v>0.95399999999999996</v>
      </c>
      <c r="F17" s="31"/>
      <c r="G17" s="31"/>
      <c r="H17" s="31"/>
      <c r="I17" s="31">
        <f>1.126-H17-G17-F17-E17</f>
        <v>0.17199999999999993</v>
      </c>
    </row>
    <row r="18" spans="1:9" s="2" customFormat="1" ht="27.75" customHeight="1">
      <c r="A18" s="33">
        <v>9</v>
      </c>
      <c r="B18" s="29" t="s">
        <v>233</v>
      </c>
      <c r="C18" s="30" t="s">
        <v>207</v>
      </c>
      <c r="D18" s="31">
        <f t="shared" si="1"/>
        <v>0.56299999999999994</v>
      </c>
      <c r="E18" s="31">
        <v>0.47699999999999998</v>
      </c>
      <c r="F18" s="31"/>
      <c r="G18" s="31"/>
      <c r="H18" s="31"/>
      <c r="I18" s="31">
        <f>0.563-H18-G18-F18-E18</f>
        <v>8.5999999999999965E-2</v>
      </c>
    </row>
    <row r="19" spans="1:9" s="2" customFormat="1" ht="27.75" customHeight="1">
      <c r="A19" s="33">
        <v>10</v>
      </c>
      <c r="B19" s="29" t="s">
        <v>234</v>
      </c>
      <c r="C19" s="30" t="s">
        <v>208</v>
      </c>
      <c r="D19" s="31">
        <f t="shared" si="1"/>
        <v>1.1259999999999999</v>
      </c>
      <c r="E19" s="31">
        <v>0.95399999999999996</v>
      </c>
      <c r="F19" s="31"/>
      <c r="G19" s="31"/>
      <c r="H19" s="31"/>
      <c r="I19" s="31">
        <f>1.126-H19-G19-F19-E19</f>
        <v>0.17199999999999993</v>
      </c>
    </row>
    <row r="20" spans="1:9" s="2" customFormat="1" ht="27.75" customHeight="1">
      <c r="A20" s="33">
        <v>11</v>
      </c>
      <c r="B20" s="29" t="s">
        <v>235</v>
      </c>
      <c r="C20" s="30" t="s">
        <v>209</v>
      </c>
      <c r="D20" s="31">
        <f t="shared" si="1"/>
        <v>0.56299999999999994</v>
      </c>
      <c r="E20" s="31">
        <v>0.47699999999999998</v>
      </c>
      <c r="F20" s="31"/>
      <c r="G20" s="31"/>
      <c r="H20" s="31"/>
      <c r="I20" s="31">
        <f>0.563-H20-G20-F20-E20</f>
        <v>8.5999999999999965E-2</v>
      </c>
    </row>
    <row r="21" spans="1:9" s="2" customFormat="1" ht="27.75" customHeight="1">
      <c r="A21" s="33">
        <v>12</v>
      </c>
      <c r="B21" s="29" t="s">
        <v>236</v>
      </c>
      <c r="C21" s="30" t="s">
        <v>210</v>
      </c>
      <c r="D21" s="31">
        <f t="shared" si="1"/>
        <v>1.1259999999999999</v>
      </c>
      <c r="E21" s="31">
        <v>0.95399999999999996</v>
      </c>
      <c r="F21" s="31"/>
      <c r="G21" s="31"/>
      <c r="H21" s="31"/>
      <c r="I21" s="31">
        <f>1.126-H21-G21-F21-E21</f>
        <v>0.17199999999999993</v>
      </c>
    </row>
    <row r="22" spans="1:9" s="2" customFormat="1" ht="27.75" customHeight="1">
      <c r="A22" s="33">
        <v>13</v>
      </c>
      <c r="B22" s="29" t="s">
        <v>237</v>
      </c>
      <c r="C22" s="30" t="s">
        <v>211</v>
      </c>
      <c r="D22" s="31">
        <f t="shared" si="1"/>
        <v>0.56299999999999994</v>
      </c>
      <c r="E22" s="31">
        <v>0.47699999999999998</v>
      </c>
      <c r="F22" s="31"/>
      <c r="G22" s="31"/>
      <c r="H22" s="31"/>
      <c r="I22" s="31">
        <f>0.563-H22-G22-F22-E22</f>
        <v>8.5999999999999965E-2</v>
      </c>
    </row>
    <row r="23" spans="1:9" s="41" customFormat="1" ht="27.75" customHeight="1">
      <c r="A23" s="33">
        <v>14</v>
      </c>
      <c r="B23" s="29" t="s">
        <v>238</v>
      </c>
      <c r="C23" s="30" t="s">
        <v>212</v>
      </c>
      <c r="D23" s="31">
        <f t="shared" si="1"/>
        <v>1.1259999999999999</v>
      </c>
      <c r="E23" s="31">
        <v>0.95399999999999996</v>
      </c>
      <c r="F23" s="31"/>
      <c r="G23" s="31"/>
      <c r="H23" s="31"/>
      <c r="I23" s="31">
        <f>1.126-H23-G23-F23-E23</f>
        <v>0.17199999999999993</v>
      </c>
    </row>
    <row r="24" spans="1:9" s="41" customFormat="1" ht="27.75" customHeight="1">
      <c r="A24" s="33">
        <v>15</v>
      </c>
      <c r="B24" s="29" t="s">
        <v>239</v>
      </c>
      <c r="C24" s="30" t="s">
        <v>213</v>
      </c>
      <c r="D24" s="31">
        <f t="shared" si="1"/>
        <v>1.1259999999999999</v>
      </c>
      <c r="E24" s="31">
        <v>0.95399999999999996</v>
      </c>
      <c r="F24" s="31"/>
      <c r="G24" s="31"/>
      <c r="H24" s="31"/>
      <c r="I24" s="31">
        <f>1.126-H24-G24-F24-E24</f>
        <v>0.17199999999999993</v>
      </c>
    </row>
    <row r="25" spans="1:9" s="41" customFormat="1" ht="27.75" customHeight="1">
      <c r="A25" s="33">
        <v>16</v>
      </c>
      <c r="B25" s="29" t="s">
        <v>214</v>
      </c>
      <c r="C25" s="30" t="s">
        <v>215</v>
      </c>
      <c r="D25" s="31">
        <f t="shared" ref="D25:D30" si="2">SUM(E25:I25)</f>
        <v>0.38100000000000001</v>
      </c>
      <c r="E25" s="31">
        <v>0</v>
      </c>
      <c r="F25" s="31"/>
      <c r="G25" s="31"/>
      <c r="H25" s="42">
        <f>0.323-E25</f>
        <v>0.32300000000000001</v>
      </c>
      <c r="I25" s="31">
        <f>0.381-H25-G25-F25-E25</f>
        <v>5.7999999999999996E-2</v>
      </c>
    </row>
    <row r="26" spans="1:9" s="41" customFormat="1" ht="27.75" customHeight="1">
      <c r="A26" s="33">
        <v>17</v>
      </c>
      <c r="B26" s="29" t="s">
        <v>216</v>
      </c>
      <c r="C26" s="30" t="s">
        <v>217</v>
      </c>
      <c r="D26" s="31">
        <f t="shared" si="2"/>
        <v>0.34799999999999998</v>
      </c>
      <c r="E26" s="31"/>
      <c r="F26" s="31"/>
      <c r="G26" s="31"/>
      <c r="H26" s="42">
        <v>0.29499999999999998</v>
      </c>
      <c r="I26" s="31">
        <f>0.348-H26-G26-F26-E26</f>
        <v>5.2999999999999992E-2</v>
      </c>
    </row>
    <row r="27" spans="1:9" s="41" customFormat="1" ht="27.75" customHeight="1">
      <c r="A27" s="33">
        <v>18</v>
      </c>
      <c r="B27" s="29" t="s">
        <v>218</v>
      </c>
      <c r="C27" s="30" t="s">
        <v>219</v>
      </c>
      <c r="D27" s="31">
        <f t="shared" si="2"/>
        <v>5.3999999999999999E-2</v>
      </c>
      <c r="E27" s="31">
        <v>4.5999999999999999E-2</v>
      </c>
      <c r="F27" s="31"/>
      <c r="G27" s="31"/>
      <c r="H27" s="42"/>
      <c r="I27" s="31">
        <f>0.054-H27-G27-F27-E27</f>
        <v>8.0000000000000002E-3</v>
      </c>
    </row>
    <row r="28" spans="1:9" s="41" customFormat="1" ht="27.75" customHeight="1">
      <c r="A28" s="33">
        <v>19</v>
      </c>
      <c r="B28" s="29" t="s">
        <v>220</v>
      </c>
      <c r="C28" s="30" t="s">
        <v>221</v>
      </c>
      <c r="D28" s="31">
        <f t="shared" si="2"/>
        <v>9.8000000000000004E-2</v>
      </c>
      <c r="E28" s="31">
        <v>8.3000000000000004E-2</v>
      </c>
      <c r="F28" s="31"/>
      <c r="G28" s="31"/>
      <c r="H28" s="42"/>
      <c r="I28" s="31">
        <f>0.098-H28-G28-F28-E28</f>
        <v>1.4999999999999999E-2</v>
      </c>
    </row>
    <row r="29" spans="1:9" s="41" customFormat="1" ht="27.75" customHeight="1">
      <c r="A29" s="33">
        <v>20</v>
      </c>
      <c r="B29" s="29" t="s">
        <v>222</v>
      </c>
      <c r="C29" s="30" t="s">
        <v>223</v>
      </c>
      <c r="D29" s="31">
        <f t="shared" si="2"/>
        <v>0.05</v>
      </c>
      <c r="E29" s="31"/>
      <c r="F29" s="31"/>
      <c r="G29" s="31"/>
      <c r="H29" s="42">
        <v>4.2000000000000003E-2</v>
      </c>
      <c r="I29" s="31">
        <f>0.05-H29-G29-F29-E29</f>
        <v>8.0000000000000002E-3</v>
      </c>
    </row>
    <row r="30" spans="1:9" s="41" customFormat="1" ht="27.75" customHeight="1">
      <c r="A30" s="33">
        <v>21</v>
      </c>
      <c r="B30" s="85" t="s">
        <v>385</v>
      </c>
      <c r="C30" s="30" t="s">
        <v>225</v>
      </c>
      <c r="D30" s="31">
        <f t="shared" si="2"/>
        <v>5.1319999999999997</v>
      </c>
      <c r="E30" s="31">
        <f>4.349+0.003-F30</f>
        <v>2.5360000000000005</v>
      </c>
      <c r="F30" s="31">
        <v>1.8160000000000001</v>
      </c>
      <c r="G30" s="31"/>
      <c r="H30" s="31"/>
      <c r="I30" s="31">
        <f>5.132-H30-G30-F30-E30</f>
        <v>0.77999999999999936</v>
      </c>
    </row>
    <row r="33" spans="1:46" s="50" customFormat="1" ht="37.5" customHeight="1">
      <c r="A33" s="300" t="s">
        <v>319</v>
      </c>
      <c r="B33" s="300"/>
      <c r="C33" s="51"/>
      <c r="D33" s="49"/>
      <c r="E33" s="52"/>
      <c r="F33" s="53" t="s">
        <v>349</v>
      </c>
      <c r="G33" s="54"/>
      <c r="H33" s="54"/>
      <c r="J33" s="54"/>
      <c r="L33" s="52"/>
      <c r="M33" s="52"/>
      <c r="N33" s="52"/>
      <c r="O33" s="52"/>
      <c r="P33" s="52"/>
      <c r="Q33" s="52"/>
      <c r="R33" s="315"/>
      <c r="S33" s="315"/>
      <c r="T33" s="52"/>
      <c r="U33" s="52"/>
      <c r="V33" s="52"/>
      <c r="Y33" s="52"/>
      <c r="Z33" s="52"/>
      <c r="AA33" s="52"/>
      <c r="AB33" s="52"/>
      <c r="AC33" s="52"/>
      <c r="AD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</row>
  </sheetData>
  <mergeCells count="9">
    <mergeCell ref="G1:I1"/>
    <mergeCell ref="E5:I5"/>
    <mergeCell ref="E6:I6"/>
    <mergeCell ref="A33:B33"/>
    <mergeCell ref="R33:S33"/>
    <mergeCell ref="A5:A7"/>
    <mergeCell ref="B5:B7"/>
    <mergeCell ref="C5:C7"/>
    <mergeCell ref="D5:D7"/>
  </mergeCells>
  <conditionalFormatting sqref="B24">
    <cfRule type="cellIs" dxfId="2" priority="1" stopIfTrue="1" operator="equal">
      <formula>0</formula>
    </cfRule>
  </conditionalFormatting>
  <pageMargins left="0.19685039370078741" right="0.19685039370078741" top="0.59055118110236227" bottom="0.43307086614173229" header="0" footer="0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31"/>
  <sheetViews>
    <sheetView topLeftCell="C4" workbookViewId="0">
      <selection activeCell="H11" sqref="H11"/>
    </sheetView>
  </sheetViews>
  <sheetFormatPr defaultRowHeight="15"/>
  <cols>
    <col min="1" max="1" width="4.7109375" style="34" customWidth="1"/>
    <col min="2" max="2" width="59.5703125" customWidth="1"/>
    <col min="3" max="3" width="21.28515625" customWidth="1"/>
    <col min="4" max="4" width="13.28515625" customWidth="1"/>
    <col min="5" max="5" width="12.5703125" customWidth="1"/>
    <col min="6" max="6" width="11.28515625" customWidth="1"/>
    <col min="7" max="7" width="15.42578125" customWidth="1"/>
    <col min="8" max="8" width="9.7109375" customWidth="1"/>
    <col min="9" max="9" width="12" customWidth="1"/>
  </cols>
  <sheetData>
    <row r="1" spans="1:11">
      <c r="G1" s="294" t="s">
        <v>365</v>
      </c>
      <c r="H1" s="294"/>
      <c r="I1" s="294"/>
    </row>
    <row r="3" spans="1:11">
      <c r="B3" s="55" t="s">
        <v>326</v>
      </c>
      <c r="C3" s="55"/>
      <c r="E3" s="23"/>
      <c r="F3" s="23"/>
      <c r="G3" s="23"/>
      <c r="H3" s="23"/>
      <c r="I3" s="23"/>
    </row>
    <row r="5" spans="1:11" s="8" customFormat="1" ht="22.5" customHeight="1">
      <c r="A5" s="310" t="s">
        <v>0</v>
      </c>
      <c r="B5" s="310" t="s">
        <v>158</v>
      </c>
      <c r="C5" s="310" t="s">
        <v>159</v>
      </c>
      <c r="D5" s="336" t="s">
        <v>162</v>
      </c>
      <c r="E5" s="333" t="s">
        <v>163</v>
      </c>
      <c r="F5" s="334"/>
      <c r="G5" s="334"/>
      <c r="H5" s="334"/>
      <c r="I5" s="335"/>
    </row>
    <row r="6" spans="1:11" s="8" customFormat="1" ht="19.5" customHeight="1">
      <c r="A6" s="310"/>
      <c r="B6" s="310"/>
      <c r="C6" s="310"/>
      <c r="D6" s="337"/>
      <c r="E6" s="310" t="s">
        <v>160</v>
      </c>
      <c r="F6" s="310"/>
      <c r="G6" s="310"/>
      <c r="H6" s="310"/>
      <c r="I6" s="310"/>
    </row>
    <row r="7" spans="1:11" s="8" customFormat="1" ht="82.5" customHeight="1">
      <c r="A7" s="310"/>
      <c r="B7" s="310"/>
      <c r="C7" s="310"/>
      <c r="D7" s="338"/>
      <c r="E7" s="32" t="s">
        <v>164</v>
      </c>
      <c r="F7" s="32" t="s">
        <v>36</v>
      </c>
      <c r="G7" s="24" t="s">
        <v>165</v>
      </c>
      <c r="H7" s="32" t="s">
        <v>33</v>
      </c>
      <c r="I7" s="32" t="s">
        <v>41</v>
      </c>
    </row>
    <row r="8" spans="1:11" s="2" customFormat="1" ht="12.7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11" s="2" customFormat="1" ht="17.25" customHeight="1">
      <c r="A9" s="26"/>
      <c r="B9" s="25" t="s">
        <v>161</v>
      </c>
      <c r="C9" s="26"/>
      <c r="D9" s="27">
        <f>SUM(D10:D28)</f>
        <v>31.3</v>
      </c>
      <c r="E9" s="27">
        <f>SUM(E10:E28)</f>
        <v>16.677</v>
      </c>
      <c r="F9" s="27">
        <f t="shared" ref="F9:I9" si="0">SUM(F10:F28)</f>
        <v>1.8160000000000001</v>
      </c>
      <c r="G9" s="27">
        <f t="shared" si="0"/>
        <v>0</v>
      </c>
      <c r="H9" s="27">
        <f t="shared" si="0"/>
        <v>8.032</v>
      </c>
      <c r="I9" s="27">
        <f t="shared" si="0"/>
        <v>4.7750000000000004</v>
      </c>
      <c r="K9" s="20">
        <f>D9-I9</f>
        <v>26.524999999999999</v>
      </c>
    </row>
    <row r="10" spans="1:11" s="28" customFormat="1" ht="27.75" customHeight="1">
      <c r="A10" s="33">
        <v>1</v>
      </c>
      <c r="B10" s="36" t="s">
        <v>240</v>
      </c>
      <c r="C10" s="30" t="s">
        <v>241</v>
      </c>
      <c r="D10" s="31">
        <f>SUM(E10:I10)</f>
        <v>2.2930000000000001</v>
      </c>
      <c r="E10" s="31">
        <v>0.127</v>
      </c>
      <c r="F10" s="31">
        <v>1.8160000000000001</v>
      </c>
      <c r="G10" s="31"/>
      <c r="H10" s="31"/>
      <c r="I10" s="31">
        <f>2.293-H10-G10-F10-E10</f>
        <v>0.35000000000000009</v>
      </c>
    </row>
    <row r="11" spans="1:11" s="2" customFormat="1" ht="27.75" customHeight="1">
      <c r="A11" s="33">
        <v>2</v>
      </c>
      <c r="B11" s="43" t="s">
        <v>242</v>
      </c>
      <c r="C11" s="30" t="s">
        <v>243</v>
      </c>
      <c r="D11" s="31">
        <f t="shared" ref="D11:D28" si="1">SUM(E11:I11)</f>
        <v>8.7759999999999998</v>
      </c>
      <c r="E11" s="39">
        <f>4.38-0.004</f>
        <v>4.3760000000000003</v>
      </c>
      <c r="F11" s="39"/>
      <c r="G11" s="31"/>
      <c r="H11" s="39">
        <f>3.057</f>
        <v>3.0569999999999999</v>
      </c>
      <c r="I11" s="39">
        <f>8.776-H11-G11-F11-E11</f>
        <v>1.3429999999999991</v>
      </c>
    </row>
    <row r="12" spans="1:11" s="2" customFormat="1" ht="27.75" customHeight="1">
      <c r="A12" s="33">
        <v>3</v>
      </c>
      <c r="B12" s="29" t="s">
        <v>262</v>
      </c>
      <c r="C12" s="30" t="s">
        <v>244</v>
      </c>
      <c r="D12" s="31">
        <f t="shared" si="1"/>
        <v>1.1839999999999999</v>
      </c>
      <c r="E12" s="31">
        <v>1.0029999999999999</v>
      </c>
      <c r="F12" s="31"/>
      <c r="G12" s="31"/>
      <c r="H12" s="31"/>
      <c r="I12" s="31">
        <f>1.184-H12-G12-F12-E12</f>
        <v>0.18100000000000005</v>
      </c>
      <c r="K12" s="20"/>
    </row>
    <row r="13" spans="1:11" s="2" customFormat="1" ht="27.75" customHeight="1">
      <c r="A13" s="33">
        <v>4</v>
      </c>
      <c r="B13" s="29" t="s">
        <v>263</v>
      </c>
      <c r="C13" s="30" t="s">
        <v>245</v>
      </c>
      <c r="D13" s="31">
        <f t="shared" si="1"/>
        <v>0.23499999999999999</v>
      </c>
      <c r="E13" s="31">
        <v>0.19900000000000001</v>
      </c>
      <c r="F13" s="31"/>
      <c r="G13" s="31"/>
      <c r="H13" s="31"/>
      <c r="I13" s="31">
        <f>0.235-H13-G13-F13-E13</f>
        <v>3.5999999999999976E-2</v>
      </c>
    </row>
    <row r="14" spans="1:11" s="2" customFormat="1" ht="27.75" customHeight="1">
      <c r="A14" s="33">
        <v>5</v>
      </c>
      <c r="B14" s="44" t="s">
        <v>264</v>
      </c>
      <c r="C14" s="30" t="s">
        <v>246</v>
      </c>
      <c r="D14" s="31">
        <f t="shared" si="1"/>
        <v>1.1830000000000001</v>
      </c>
      <c r="E14" s="31">
        <v>1.0029999999999999</v>
      </c>
      <c r="F14" s="31"/>
      <c r="G14" s="31"/>
      <c r="H14" s="31"/>
      <c r="I14" s="31">
        <f>1.183-H14-G14-F14-E14</f>
        <v>0.18000000000000016</v>
      </c>
      <c r="K14" s="20"/>
    </row>
    <row r="15" spans="1:11" s="2" customFormat="1" ht="27.75" customHeight="1">
      <c r="A15" s="33">
        <v>6</v>
      </c>
      <c r="B15" s="44" t="s">
        <v>265</v>
      </c>
      <c r="C15" s="30" t="s">
        <v>247</v>
      </c>
      <c r="D15" s="31">
        <f t="shared" si="1"/>
        <v>1.1830000000000001</v>
      </c>
      <c r="E15" s="31">
        <v>1.0029999999999999</v>
      </c>
      <c r="F15" s="31"/>
      <c r="G15" s="31"/>
      <c r="H15" s="31"/>
      <c r="I15" s="31">
        <f>1.183-H15-G15-F15-E15</f>
        <v>0.18000000000000016</v>
      </c>
    </row>
    <row r="16" spans="1:11" s="2" customFormat="1" ht="27.75" customHeight="1">
      <c r="A16" s="33">
        <v>7</v>
      </c>
      <c r="B16" s="44" t="s">
        <v>266</v>
      </c>
      <c r="C16" s="30" t="s">
        <v>248</v>
      </c>
      <c r="D16" s="31">
        <f t="shared" si="1"/>
        <v>0.59099999999999997</v>
      </c>
      <c r="E16" s="31">
        <v>0.501</v>
      </c>
      <c r="F16" s="31"/>
      <c r="G16" s="31"/>
      <c r="H16" s="31"/>
      <c r="I16" s="31">
        <f>0.591-H16-G16-F16-E16</f>
        <v>8.9999999999999969E-2</v>
      </c>
    </row>
    <row r="17" spans="1:46" s="2" customFormat="1" ht="27.75" customHeight="1">
      <c r="A17" s="33">
        <v>8</v>
      </c>
      <c r="B17" s="44" t="s">
        <v>267</v>
      </c>
      <c r="C17" s="30" t="s">
        <v>249</v>
      </c>
      <c r="D17" s="31">
        <f t="shared" si="1"/>
        <v>1.706</v>
      </c>
      <c r="E17" s="31">
        <v>1.446</v>
      </c>
      <c r="F17" s="31"/>
      <c r="G17" s="31"/>
      <c r="H17" s="31"/>
      <c r="I17" s="31">
        <f>1.706-H17-G17-F17-E17</f>
        <v>0.26</v>
      </c>
    </row>
    <row r="18" spans="1:46" s="2" customFormat="1" ht="27.75" customHeight="1">
      <c r="A18" s="33">
        <v>9</v>
      </c>
      <c r="B18" s="44" t="s">
        <v>268</v>
      </c>
      <c r="C18" s="30" t="s">
        <v>250</v>
      </c>
      <c r="D18" s="31">
        <f t="shared" si="1"/>
        <v>0.59099999999999997</v>
      </c>
      <c r="E18" s="31">
        <v>0.501</v>
      </c>
      <c r="F18" s="31"/>
      <c r="G18" s="31"/>
      <c r="H18" s="31"/>
      <c r="I18" s="31">
        <f>0.591-H18-G18-F18-E18</f>
        <v>8.9999999999999969E-2</v>
      </c>
    </row>
    <row r="19" spans="1:46" s="41" customFormat="1" ht="27.75" customHeight="1">
      <c r="A19" s="33">
        <v>10</v>
      </c>
      <c r="B19" s="44" t="s">
        <v>269</v>
      </c>
      <c r="C19" s="30" t="s">
        <v>251</v>
      </c>
      <c r="D19" s="31">
        <f t="shared" si="1"/>
        <v>1.1830000000000001</v>
      </c>
      <c r="E19" s="31">
        <v>1.0029999999999999</v>
      </c>
      <c r="F19" s="31"/>
      <c r="G19" s="31"/>
      <c r="H19" s="31"/>
      <c r="I19" s="31">
        <f>1.183-H19-G19-F19-E19</f>
        <v>0.18000000000000016</v>
      </c>
    </row>
    <row r="20" spans="1:46" s="41" customFormat="1" ht="27.75" customHeight="1">
      <c r="A20" s="33">
        <v>11</v>
      </c>
      <c r="B20" s="44" t="s">
        <v>270</v>
      </c>
      <c r="C20" s="30" t="s">
        <v>252</v>
      </c>
      <c r="D20" s="31">
        <f t="shared" si="1"/>
        <v>1.1830000000000001</v>
      </c>
      <c r="E20" s="31">
        <v>1.0029999999999999</v>
      </c>
      <c r="F20" s="31"/>
      <c r="G20" s="31"/>
      <c r="H20" s="31"/>
      <c r="I20" s="31">
        <f t="shared" ref="I20:I24" si="2">1.183-H20-G20-F20-E20</f>
        <v>0.18000000000000016</v>
      </c>
    </row>
    <row r="21" spans="1:46" s="41" customFormat="1" ht="27.75" customHeight="1">
      <c r="A21" s="33">
        <v>12</v>
      </c>
      <c r="B21" s="44" t="s">
        <v>271</v>
      </c>
      <c r="C21" s="30" t="s">
        <v>253</v>
      </c>
      <c r="D21" s="31">
        <f t="shared" si="1"/>
        <v>1.1830000000000001</v>
      </c>
      <c r="E21" s="31">
        <v>1.0029999999999999</v>
      </c>
      <c r="F21" s="31"/>
      <c r="G21" s="31"/>
      <c r="H21" s="31"/>
      <c r="I21" s="31">
        <f t="shared" si="2"/>
        <v>0.18000000000000016</v>
      </c>
    </row>
    <row r="22" spans="1:46" s="41" customFormat="1" ht="27.75" customHeight="1">
      <c r="A22" s="33">
        <v>13</v>
      </c>
      <c r="B22" s="44" t="s">
        <v>272</v>
      </c>
      <c r="C22" s="30" t="s">
        <v>254</v>
      </c>
      <c r="D22" s="31">
        <f t="shared" si="1"/>
        <v>1.1830000000000001</v>
      </c>
      <c r="E22" s="31">
        <v>1.0029999999999999</v>
      </c>
      <c r="F22" s="31"/>
      <c r="G22" s="31"/>
      <c r="H22" s="31"/>
      <c r="I22" s="31">
        <f t="shared" si="2"/>
        <v>0.18000000000000016</v>
      </c>
    </row>
    <row r="23" spans="1:46" s="41" customFormat="1" ht="27.75" customHeight="1">
      <c r="A23" s="33">
        <v>14</v>
      </c>
      <c r="B23" s="44" t="s">
        <v>273</v>
      </c>
      <c r="C23" s="30" t="s">
        <v>255</v>
      </c>
      <c r="D23" s="31">
        <f t="shared" si="1"/>
        <v>0.59099999999999997</v>
      </c>
      <c r="E23" s="31">
        <v>0.501</v>
      </c>
      <c r="F23" s="31"/>
      <c r="G23" s="31"/>
      <c r="H23" s="31"/>
      <c r="I23" s="31">
        <f>0.591-H23-G23-F23-E23</f>
        <v>8.9999999999999969E-2</v>
      </c>
    </row>
    <row r="24" spans="1:46" s="41" customFormat="1" ht="27.75" customHeight="1">
      <c r="A24" s="33">
        <v>15</v>
      </c>
      <c r="B24" s="44" t="s">
        <v>274</v>
      </c>
      <c r="C24" s="30" t="s">
        <v>256</v>
      </c>
      <c r="D24" s="31">
        <f t="shared" si="1"/>
        <v>1.1830000000000001</v>
      </c>
      <c r="E24" s="31">
        <v>1.0029999999999999</v>
      </c>
      <c r="F24" s="31"/>
      <c r="G24" s="31"/>
      <c r="H24" s="31"/>
      <c r="I24" s="31">
        <f t="shared" si="2"/>
        <v>0.18000000000000016</v>
      </c>
    </row>
    <row r="25" spans="1:46" s="41" customFormat="1" ht="27.75" customHeight="1">
      <c r="A25" s="33">
        <v>16</v>
      </c>
      <c r="B25" s="44" t="s">
        <v>275</v>
      </c>
      <c r="C25" s="30" t="s">
        <v>257</v>
      </c>
      <c r="D25" s="31">
        <f t="shared" si="1"/>
        <v>0.59099999999999997</v>
      </c>
      <c r="E25" s="31">
        <v>0.501</v>
      </c>
      <c r="F25" s="31"/>
      <c r="G25" s="31"/>
      <c r="H25" s="31"/>
      <c r="I25" s="31">
        <f>0.591-H25-G25-F25-E25</f>
        <v>8.9999999999999969E-2</v>
      </c>
    </row>
    <row r="26" spans="1:46" s="41" customFormat="1" ht="27.75" customHeight="1">
      <c r="A26" s="33">
        <v>17</v>
      </c>
      <c r="B26" s="44" t="s">
        <v>276</v>
      </c>
      <c r="C26" s="30" t="s">
        <v>258</v>
      </c>
      <c r="D26" s="31">
        <f t="shared" si="1"/>
        <v>0.59099999999999997</v>
      </c>
      <c r="E26" s="31">
        <v>0.501</v>
      </c>
      <c r="F26" s="31"/>
      <c r="G26" s="31"/>
      <c r="H26" s="31"/>
      <c r="I26" s="31">
        <f>0.591-H26-G26-F26-E26</f>
        <v>8.9999999999999969E-2</v>
      </c>
    </row>
    <row r="27" spans="1:46" s="41" customFormat="1" ht="12.75">
      <c r="A27" s="33">
        <v>18</v>
      </c>
      <c r="B27" s="44" t="s">
        <v>259</v>
      </c>
      <c r="C27" s="30" t="s">
        <v>260</v>
      </c>
      <c r="D27" s="31">
        <f t="shared" si="1"/>
        <v>1.1890000000000001</v>
      </c>
      <c r="E27" s="31"/>
      <c r="F27" s="31"/>
      <c r="G27" s="31"/>
      <c r="H27" s="31">
        <v>1.008</v>
      </c>
      <c r="I27" s="31">
        <f>1.189-H27-G27-F27-E27</f>
        <v>0.18100000000000005</v>
      </c>
    </row>
    <row r="28" spans="1:46" s="41" customFormat="1" ht="25.5">
      <c r="A28" s="33">
        <v>19</v>
      </c>
      <c r="B28" s="44" t="s">
        <v>224</v>
      </c>
      <c r="C28" s="30" t="s">
        <v>261</v>
      </c>
      <c r="D28" s="31">
        <f t="shared" si="1"/>
        <v>4.681</v>
      </c>
      <c r="E28" s="31"/>
      <c r="F28" s="31"/>
      <c r="G28" s="31"/>
      <c r="H28" s="31">
        <v>3.9670000000000001</v>
      </c>
      <c r="I28" s="31">
        <f>4.681-H28-G28-F28-E28</f>
        <v>0.71399999999999997</v>
      </c>
    </row>
    <row r="31" spans="1:46" s="50" customFormat="1" ht="37.5" customHeight="1">
      <c r="A31" s="300" t="s">
        <v>319</v>
      </c>
      <c r="B31" s="300"/>
      <c r="C31" s="51"/>
      <c r="D31" s="49"/>
      <c r="E31" s="52"/>
      <c r="F31" s="53" t="s">
        <v>349</v>
      </c>
      <c r="G31" s="54"/>
      <c r="H31" s="54"/>
      <c r="J31" s="54"/>
      <c r="L31" s="52"/>
      <c r="M31" s="52"/>
      <c r="N31" s="52"/>
      <c r="O31" s="52"/>
      <c r="P31" s="52"/>
      <c r="Q31" s="52"/>
      <c r="R31" s="315"/>
      <c r="S31" s="315"/>
      <c r="T31" s="52"/>
      <c r="U31" s="52"/>
      <c r="V31" s="52"/>
      <c r="Y31" s="52"/>
      <c r="Z31" s="52"/>
      <c r="AA31" s="52"/>
      <c r="AB31" s="52"/>
      <c r="AC31" s="52"/>
      <c r="AD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</row>
  </sheetData>
  <mergeCells count="9">
    <mergeCell ref="G1:I1"/>
    <mergeCell ref="E5:I5"/>
    <mergeCell ref="E6:I6"/>
    <mergeCell ref="A31:B31"/>
    <mergeCell ref="R31:S31"/>
    <mergeCell ref="A5:A7"/>
    <mergeCell ref="B5:B7"/>
    <mergeCell ref="C5:C7"/>
    <mergeCell ref="D5:D7"/>
  </mergeCells>
  <conditionalFormatting sqref="B20">
    <cfRule type="cellIs" dxfId="1" priority="1" stopIfTrue="1" operator="equal">
      <formula>0</formula>
    </cfRule>
  </conditionalFormatting>
  <pageMargins left="0.19685039370078741" right="0.19685039370078741" top="0.59055118110236227" bottom="0.43307086614173229" header="0" footer="0"/>
  <pageSetup paperSize="9" scale="89" orientation="landscape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T26"/>
  <sheetViews>
    <sheetView topLeftCell="C8" workbookViewId="0">
      <selection activeCell="K9" sqref="K9"/>
    </sheetView>
  </sheetViews>
  <sheetFormatPr defaultRowHeight="15"/>
  <cols>
    <col min="1" max="1" width="4.7109375" style="34" customWidth="1"/>
    <col min="2" max="2" width="59.5703125" customWidth="1"/>
    <col min="3" max="3" width="21.28515625" customWidth="1"/>
    <col min="4" max="4" width="13.28515625" customWidth="1"/>
    <col min="5" max="5" width="12.5703125" customWidth="1"/>
    <col min="6" max="6" width="11.28515625" customWidth="1"/>
    <col min="7" max="7" width="15.42578125" customWidth="1"/>
    <col min="8" max="8" width="9.7109375" customWidth="1"/>
    <col min="9" max="9" width="12" customWidth="1"/>
  </cols>
  <sheetData>
    <row r="1" spans="1:11">
      <c r="G1" s="294" t="s">
        <v>323</v>
      </c>
      <c r="H1" s="294"/>
      <c r="I1" s="294"/>
    </row>
    <row r="2" spans="1:11">
      <c r="G2" s="294" t="s">
        <v>366</v>
      </c>
      <c r="H2" s="294"/>
      <c r="I2" s="294"/>
    </row>
    <row r="3" spans="1:11">
      <c r="B3" s="55" t="s">
        <v>327</v>
      </c>
      <c r="C3" s="55"/>
      <c r="E3" s="23"/>
      <c r="F3" s="23"/>
      <c r="G3" s="23"/>
      <c r="H3" s="23"/>
      <c r="I3" s="23"/>
    </row>
    <row r="5" spans="1:11" s="8" customFormat="1" ht="18.75" customHeight="1">
      <c r="A5" s="310" t="s">
        <v>0</v>
      </c>
      <c r="B5" s="310" t="s">
        <v>158</v>
      </c>
      <c r="C5" s="310" t="s">
        <v>159</v>
      </c>
      <c r="D5" s="336" t="s">
        <v>162</v>
      </c>
      <c r="E5" s="333" t="s">
        <v>163</v>
      </c>
      <c r="F5" s="334"/>
      <c r="G5" s="334"/>
      <c r="H5" s="334"/>
      <c r="I5" s="335"/>
    </row>
    <row r="6" spans="1:11" s="8" customFormat="1" ht="17.25" customHeight="1">
      <c r="A6" s="310"/>
      <c r="B6" s="310"/>
      <c r="C6" s="310"/>
      <c r="D6" s="337"/>
      <c r="E6" s="310" t="s">
        <v>160</v>
      </c>
      <c r="F6" s="310"/>
      <c r="G6" s="310"/>
      <c r="H6" s="310"/>
      <c r="I6" s="310"/>
    </row>
    <row r="7" spans="1:11" s="8" customFormat="1" ht="60" customHeight="1">
      <c r="A7" s="310"/>
      <c r="B7" s="310"/>
      <c r="C7" s="310"/>
      <c r="D7" s="338"/>
      <c r="E7" s="32" t="s">
        <v>164</v>
      </c>
      <c r="F7" s="32" t="s">
        <v>36</v>
      </c>
      <c r="G7" s="24" t="s">
        <v>165</v>
      </c>
      <c r="H7" s="32" t="s">
        <v>33</v>
      </c>
      <c r="I7" s="32" t="s">
        <v>41</v>
      </c>
    </row>
    <row r="8" spans="1:11" s="2" customFormat="1" ht="12.7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11" s="2" customFormat="1" ht="17.25" customHeight="1">
      <c r="A9" s="26"/>
      <c r="B9" s="25" t="s">
        <v>161</v>
      </c>
      <c r="C9" s="26"/>
      <c r="D9" s="27">
        <f>SUM(D10:D23)</f>
        <v>34.21</v>
      </c>
      <c r="E9" s="27">
        <f t="shared" ref="E9:I9" si="0">SUM(E10:E23)</f>
        <v>17.360000000000003</v>
      </c>
      <c r="F9" s="27">
        <f t="shared" si="0"/>
        <v>1.8160000000000003</v>
      </c>
      <c r="G9" s="27">
        <f t="shared" si="0"/>
        <v>0</v>
      </c>
      <c r="H9" s="27">
        <f t="shared" si="0"/>
        <v>9.8160000000000007</v>
      </c>
      <c r="I9" s="27">
        <f t="shared" si="0"/>
        <v>5.218</v>
      </c>
      <c r="K9" s="20">
        <f>D9-I9</f>
        <v>28.992000000000001</v>
      </c>
    </row>
    <row r="10" spans="1:11" s="28" customFormat="1" ht="27.75" customHeight="1">
      <c r="A10" s="33">
        <v>1</v>
      </c>
      <c r="B10" s="36" t="s">
        <v>277</v>
      </c>
      <c r="C10" s="31" t="s">
        <v>278</v>
      </c>
      <c r="D10" s="31">
        <f>SUM(E10:I10)</f>
        <v>1.6839999999999999</v>
      </c>
      <c r="E10" s="31">
        <v>1.427</v>
      </c>
      <c r="F10" s="31"/>
      <c r="G10" s="31"/>
      <c r="H10" s="31"/>
      <c r="I10" s="31">
        <v>0.2569999999999999</v>
      </c>
    </row>
    <row r="11" spans="1:11" s="2" customFormat="1" ht="27.75" customHeight="1">
      <c r="A11" s="33">
        <v>2</v>
      </c>
      <c r="B11" s="36" t="s">
        <v>279</v>
      </c>
      <c r="C11" s="31" t="s">
        <v>280</v>
      </c>
      <c r="D11" s="31">
        <f t="shared" ref="D11:D19" si="1">SUM(E11:I11)</f>
        <v>1.6839999999999999</v>
      </c>
      <c r="E11" s="31">
        <v>1.427</v>
      </c>
      <c r="F11" s="31"/>
      <c r="G11" s="31"/>
      <c r="H11" s="31"/>
      <c r="I11" s="31">
        <v>0.2569999999999999</v>
      </c>
    </row>
    <row r="12" spans="1:11" s="2" customFormat="1" ht="27.75" customHeight="1">
      <c r="A12" s="33">
        <v>3</v>
      </c>
      <c r="B12" s="36" t="s">
        <v>281</v>
      </c>
      <c r="C12" s="31" t="s">
        <v>282</v>
      </c>
      <c r="D12" s="31">
        <f t="shared" si="1"/>
        <v>1.6839999999999999</v>
      </c>
      <c r="E12" s="31">
        <v>1.427</v>
      </c>
      <c r="F12" s="31"/>
      <c r="G12" s="31"/>
      <c r="H12" s="31"/>
      <c r="I12" s="31">
        <v>0.2569999999999999</v>
      </c>
    </row>
    <row r="13" spans="1:11" s="2" customFormat="1" ht="27.75" customHeight="1">
      <c r="A13" s="33">
        <v>4</v>
      </c>
      <c r="B13" s="36" t="s">
        <v>283</v>
      </c>
      <c r="C13" s="31" t="s">
        <v>284</v>
      </c>
      <c r="D13" s="31">
        <f t="shared" si="1"/>
        <v>1.024</v>
      </c>
      <c r="E13" s="31">
        <v>0.86799999999999999</v>
      </c>
      <c r="F13" s="31"/>
      <c r="G13" s="31"/>
      <c r="H13" s="31"/>
      <c r="I13" s="31">
        <v>0.15600000000000003</v>
      </c>
    </row>
    <row r="14" spans="1:11" s="41" customFormat="1" ht="27.75" customHeight="1">
      <c r="A14" s="33">
        <v>5</v>
      </c>
      <c r="B14" s="29" t="s">
        <v>299</v>
      </c>
      <c r="C14" s="31" t="s">
        <v>285</v>
      </c>
      <c r="D14" s="31">
        <f t="shared" si="1"/>
        <v>1.254</v>
      </c>
      <c r="E14" s="31">
        <v>1.0629999999999999</v>
      </c>
      <c r="F14" s="31"/>
      <c r="G14" s="31"/>
      <c r="H14" s="31"/>
      <c r="I14" s="31">
        <v>0.19100000000000006</v>
      </c>
    </row>
    <row r="15" spans="1:11" s="41" customFormat="1" ht="27.75" customHeight="1">
      <c r="A15" s="33">
        <v>6</v>
      </c>
      <c r="B15" s="29" t="s">
        <v>300</v>
      </c>
      <c r="C15" s="31" t="s">
        <v>286</v>
      </c>
      <c r="D15" s="31">
        <f t="shared" si="1"/>
        <v>0.65</v>
      </c>
      <c r="E15" s="31">
        <v>0.55100000000000005</v>
      </c>
      <c r="F15" s="31"/>
      <c r="G15" s="31"/>
      <c r="H15" s="31"/>
      <c r="I15" s="31">
        <v>9.9000000000000005E-2</v>
      </c>
    </row>
    <row r="16" spans="1:11" s="41" customFormat="1" ht="27.75" customHeight="1">
      <c r="A16" s="33">
        <v>7</v>
      </c>
      <c r="B16" s="44" t="s">
        <v>301</v>
      </c>
      <c r="C16" s="31" t="s">
        <v>287</v>
      </c>
      <c r="D16" s="31">
        <f t="shared" si="1"/>
        <v>2.5209999999999999</v>
      </c>
      <c r="E16" s="31">
        <v>2.1360000000000001</v>
      </c>
      <c r="F16" s="31"/>
      <c r="G16" s="31"/>
      <c r="H16" s="31"/>
      <c r="I16" s="31">
        <v>0.38499999999999979</v>
      </c>
    </row>
    <row r="17" spans="1:46" s="41" customFormat="1" ht="27.75" customHeight="1">
      <c r="A17" s="33">
        <v>8</v>
      </c>
      <c r="B17" s="44" t="s">
        <v>302</v>
      </c>
      <c r="C17" s="31" t="s">
        <v>288</v>
      </c>
      <c r="D17" s="31">
        <f t="shared" si="1"/>
        <v>0.90300000000000002</v>
      </c>
      <c r="E17" s="31">
        <v>1.2999999999999999E-2</v>
      </c>
      <c r="F17" s="31">
        <v>0.754</v>
      </c>
      <c r="G17" s="31"/>
      <c r="H17" s="31"/>
      <c r="I17" s="31">
        <v>0.13600000000000001</v>
      </c>
    </row>
    <row r="18" spans="1:46" s="41" customFormat="1" ht="27.75" customHeight="1">
      <c r="A18" s="33">
        <v>9</v>
      </c>
      <c r="B18" s="44" t="s">
        <v>303</v>
      </c>
      <c r="C18" s="31" t="s">
        <v>289</v>
      </c>
      <c r="D18" s="31">
        <f t="shared" si="1"/>
        <v>0.627</v>
      </c>
      <c r="E18" s="31"/>
      <c r="F18" s="31">
        <v>0.53100000000000003</v>
      </c>
      <c r="G18" s="31"/>
      <c r="H18" s="31"/>
      <c r="I18" s="31">
        <v>9.5999999999999974E-2</v>
      </c>
    </row>
    <row r="19" spans="1:46" s="41" customFormat="1" ht="27.75" customHeight="1">
      <c r="A19" s="33">
        <v>10</v>
      </c>
      <c r="B19" s="44" t="s">
        <v>304</v>
      </c>
      <c r="C19" s="31" t="s">
        <v>290</v>
      </c>
      <c r="D19" s="31">
        <f t="shared" si="1"/>
        <v>0.627</v>
      </c>
      <c r="E19" s="31"/>
      <c r="F19" s="31">
        <v>0.53100000000000003</v>
      </c>
      <c r="G19" s="31"/>
      <c r="H19" s="31"/>
      <c r="I19" s="31">
        <v>9.5999999999999974E-2</v>
      </c>
    </row>
    <row r="20" spans="1:46" s="41" customFormat="1" ht="18" customHeight="1">
      <c r="A20" s="33">
        <v>11</v>
      </c>
      <c r="B20" s="36" t="s">
        <v>291</v>
      </c>
      <c r="C20" s="31" t="s">
        <v>292</v>
      </c>
      <c r="D20" s="31">
        <f t="shared" ref="D20:D23" si="2">SUM(E20:I20)</f>
        <v>1.9390000000000001</v>
      </c>
      <c r="E20" s="31">
        <v>1.643</v>
      </c>
      <c r="F20" s="31"/>
      <c r="G20" s="31"/>
      <c r="H20" s="31"/>
      <c r="I20" s="31">
        <v>0.29600000000000004</v>
      </c>
    </row>
    <row r="21" spans="1:46" s="41" customFormat="1" ht="19.5" customHeight="1">
      <c r="A21" s="33">
        <v>12</v>
      </c>
      <c r="B21" s="36" t="s">
        <v>293</v>
      </c>
      <c r="C21" s="31" t="s">
        <v>294</v>
      </c>
      <c r="D21" s="31">
        <f t="shared" si="2"/>
        <v>7.1349999999999998</v>
      </c>
      <c r="E21" s="31">
        <v>8.2000000000000003E-2</v>
      </c>
      <c r="F21" s="31"/>
      <c r="G21" s="31"/>
      <c r="H21" s="31">
        <v>5.9640000000000004</v>
      </c>
      <c r="I21" s="31">
        <v>1.089</v>
      </c>
    </row>
    <row r="22" spans="1:46" s="41" customFormat="1" ht="18" customHeight="1">
      <c r="A22" s="33">
        <v>13</v>
      </c>
      <c r="B22" s="36" t="s">
        <v>295</v>
      </c>
      <c r="C22" s="31" t="s">
        <v>296</v>
      </c>
      <c r="D22" s="31">
        <f t="shared" si="2"/>
        <v>4.5449999999999999</v>
      </c>
      <c r="E22" s="31"/>
      <c r="F22" s="31"/>
      <c r="G22" s="31"/>
      <c r="H22" s="31">
        <v>3.8519999999999999</v>
      </c>
      <c r="I22" s="31">
        <v>0.69300000000000006</v>
      </c>
    </row>
    <row r="23" spans="1:46" s="41" customFormat="1" ht="25.5">
      <c r="A23" s="33">
        <v>14</v>
      </c>
      <c r="B23" s="46" t="s">
        <v>297</v>
      </c>
      <c r="C23" s="31" t="s">
        <v>298</v>
      </c>
      <c r="D23" s="31">
        <f t="shared" si="2"/>
        <v>7.9329999999999998</v>
      </c>
      <c r="E23" s="31">
        <v>6.7229999999999999</v>
      </c>
      <c r="F23" s="31"/>
      <c r="G23" s="45"/>
      <c r="H23" s="31"/>
      <c r="I23" s="31">
        <v>1.21</v>
      </c>
    </row>
    <row r="24" spans="1:46" ht="9" customHeight="1"/>
    <row r="25" spans="1:46" ht="6" customHeight="1"/>
    <row r="26" spans="1:46" s="50" customFormat="1" ht="37.5" customHeight="1">
      <c r="A26" s="300" t="s">
        <v>319</v>
      </c>
      <c r="B26" s="300"/>
      <c r="C26" s="51"/>
      <c r="D26" s="49"/>
      <c r="E26" s="52"/>
      <c r="F26" s="53" t="s">
        <v>349</v>
      </c>
      <c r="G26" s="54"/>
      <c r="H26" s="54"/>
      <c r="J26" s="54"/>
      <c r="L26" s="52"/>
      <c r="M26" s="52"/>
      <c r="N26" s="52"/>
      <c r="O26" s="52"/>
      <c r="P26" s="52"/>
      <c r="Q26" s="52"/>
      <c r="R26" s="315"/>
      <c r="S26" s="315"/>
      <c r="T26" s="52"/>
      <c r="U26" s="52"/>
      <c r="V26" s="52"/>
      <c r="Y26" s="52"/>
      <c r="Z26" s="52"/>
      <c r="AA26" s="52"/>
      <c r="AB26" s="52"/>
      <c r="AC26" s="52"/>
      <c r="AD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</row>
  </sheetData>
  <mergeCells count="10">
    <mergeCell ref="G1:I1"/>
    <mergeCell ref="E5:I5"/>
    <mergeCell ref="E6:I6"/>
    <mergeCell ref="A26:B26"/>
    <mergeCell ref="R26:S26"/>
    <mergeCell ref="A5:A7"/>
    <mergeCell ref="B5:B7"/>
    <mergeCell ref="C5:C7"/>
    <mergeCell ref="D5:D7"/>
    <mergeCell ref="G2:I2"/>
  </mergeCells>
  <conditionalFormatting sqref="B15">
    <cfRule type="cellIs" dxfId="0" priority="1" stopIfTrue="1" operator="equal">
      <formula>0</formula>
    </cfRule>
  </conditionalFormatting>
  <pageMargins left="0.19685039370078741" right="0.19685039370078741" top="0.59055118110236227" bottom="0.43307086614173229" header="0" footer="0"/>
  <pageSetup paperSize="9" scale="89" orientation="landscape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19"/>
  <sheetViews>
    <sheetView topLeftCell="C8" workbookViewId="0">
      <selection activeCell="K9" sqref="K9"/>
    </sheetView>
  </sheetViews>
  <sheetFormatPr defaultRowHeight="15"/>
  <cols>
    <col min="1" max="1" width="4.7109375" style="34" customWidth="1"/>
    <col min="2" max="2" width="59.5703125" customWidth="1"/>
    <col min="3" max="3" width="24.28515625" customWidth="1"/>
    <col min="4" max="4" width="13.28515625" customWidth="1"/>
    <col min="5" max="5" width="12.5703125" customWidth="1"/>
    <col min="6" max="6" width="11.28515625" customWidth="1"/>
    <col min="7" max="7" width="15.42578125" customWidth="1"/>
    <col min="8" max="8" width="9.7109375" customWidth="1"/>
    <col min="9" max="9" width="12" customWidth="1"/>
  </cols>
  <sheetData>
    <row r="1" spans="1:11">
      <c r="G1" s="294" t="s">
        <v>367</v>
      </c>
      <c r="H1" s="294"/>
      <c r="I1" s="294"/>
    </row>
    <row r="3" spans="1:11">
      <c r="B3" s="55" t="s">
        <v>328</v>
      </c>
      <c r="C3" s="55"/>
      <c r="E3" s="23"/>
      <c r="F3" s="23"/>
      <c r="G3" s="23"/>
      <c r="H3" s="23"/>
      <c r="I3" s="23"/>
    </row>
    <row r="5" spans="1:11" s="8" customFormat="1" ht="22.5" customHeight="1">
      <c r="A5" s="310" t="s">
        <v>0</v>
      </c>
      <c r="B5" s="310" t="s">
        <v>158</v>
      </c>
      <c r="C5" s="310" t="s">
        <v>159</v>
      </c>
      <c r="D5" s="336" t="s">
        <v>162</v>
      </c>
      <c r="E5" s="333" t="s">
        <v>163</v>
      </c>
      <c r="F5" s="334"/>
      <c r="G5" s="334"/>
      <c r="H5" s="334"/>
      <c r="I5" s="335"/>
    </row>
    <row r="6" spans="1:11" s="8" customFormat="1" ht="19.5" customHeight="1">
      <c r="A6" s="310"/>
      <c r="B6" s="310"/>
      <c r="C6" s="310"/>
      <c r="D6" s="337"/>
      <c r="E6" s="310" t="s">
        <v>160</v>
      </c>
      <c r="F6" s="310"/>
      <c r="G6" s="310"/>
      <c r="H6" s="310"/>
      <c r="I6" s="310"/>
    </row>
    <row r="7" spans="1:11" s="8" customFormat="1" ht="82.5" customHeight="1">
      <c r="A7" s="310"/>
      <c r="B7" s="310"/>
      <c r="C7" s="310"/>
      <c r="D7" s="338"/>
      <c r="E7" s="32" t="s">
        <v>164</v>
      </c>
      <c r="F7" s="32" t="s">
        <v>36</v>
      </c>
      <c r="G7" s="24" t="s">
        <v>165</v>
      </c>
      <c r="H7" s="32" t="s">
        <v>33</v>
      </c>
      <c r="I7" s="32" t="s">
        <v>41</v>
      </c>
    </row>
    <row r="8" spans="1:11" s="2" customFormat="1" ht="12.7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11" s="2" customFormat="1" ht="17.25" customHeight="1">
      <c r="A9" s="26"/>
      <c r="B9" s="25" t="s">
        <v>161</v>
      </c>
      <c r="C9" s="26"/>
      <c r="D9" s="27">
        <f>SUM(D10:D16)</f>
        <v>32.653999999999996</v>
      </c>
      <c r="E9" s="27">
        <f t="shared" ref="E9:I9" si="0">SUM(E10:E16)</f>
        <v>18.055</v>
      </c>
      <c r="F9" s="27">
        <f t="shared" si="0"/>
        <v>1.8159999999999998</v>
      </c>
      <c r="G9" s="27">
        <f t="shared" si="0"/>
        <v>0</v>
      </c>
      <c r="H9" s="27">
        <f t="shared" si="0"/>
        <v>7.8020000000000005</v>
      </c>
      <c r="I9" s="27">
        <f t="shared" si="0"/>
        <v>4.9809999999999999</v>
      </c>
      <c r="K9" s="20">
        <f>D9-I9</f>
        <v>27.672999999999995</v>
      </c>
    </row>
    <row r="10" spans="1:11" s="28" customFormat="1" ht="30" customHeight="1">
      <c r="A10" s="33">
        <v>1</v>
      </c>
      <c r="B10" s="36" t="s">
        <v>305</v>
      </c>
      <c r="C10" s="30" t="s">
        <v>306</v>
      </c>
      <c r="D10" s="31">
        <f>SUM(E10:I10)</f>
        <v>1.3779999999999999</v>
      </c>
      <c r="E10" s="31"/>
      <c r="F10" s="31">
        <v>1.1679999999999999</v>
      </c>
      <c r="G10" s="31"/>
      <c r="H10" s="31"/>
      <c r="I10" s="31">
        <f>1.378-H10-G10-F10-E10</f>
        <v>0.20999999999999996</v>
      </c>
    </row>
    <row r="11" spans="1:11" s="2" customFormat="1" ht="30" customHeight="1">
      <c r="A11" s="33">
        <v>2</v>
      </c>
      <c r="B11" s="36" t="s">
        <v>307</v>
      </c>
      <c r="C11" s="30" t="s">
        <v>308</v>
      </c>
      <c r="D11" s="31">
        <f t="shared" ref="D11:D14" si="1">SUM(E11:I11)</f>
        <v>0.74199999999999999</v>
      </c>
      <c r="E11" s="31"/>
      <c r="F11" s="31">
        <v>0.629</v>
      </c>
      <c r="G11" s="31"/>
      <c r="H11" s="31"/>
      <c r="I11" s="31">
        <f>0.742-H11-G11-F11-E11</f>
        <v>0.11299999999999999</v>
      </c>
    </row>
    <row r="12" spans="1:11" s="41" customFormat="1" ht="30" customHeight="1">
      <c r="A12" s="33">
        <v>3</v>
      </c>
      <c r="B12" s="47" t="s">
        <v>309</v>
      </c>
      <c r="C12" s="30" t="s">
        <v>310</v>
      </c>
      <c r="D12" s="339">
        <f t="shared" si="1"/>
        <v>13.888</v>
      </c>
      <c r="E12" s="339">
        <f>11.769-F12</f>
        <v>11.75</v>
      </c>
      <c r="F12" s="339">
        <v>1.9E-2</v>
      </c>
      <c r="G12" s="339"/>
      <c r="H12" s="339"/>
      <c r="I12" s="339">
        <f>13.888-H12-G12-F12-E12</f>
        <v>2.1189999999999998</v>
      </c>
    </row>
    <row r="13" spans="1:11" s="41" customFormat="1" ht="30" customHeight="1">
      <c r="A13" s="33">
        <v>4</v>
      </c>
      <c r="B13" s="47" t="s">
        <v>311</v>
      </c>
      <c r="C13" s="30" t="s">
        <v>312</v>
      </c>
      <c r="D13" s="340"/>
      <c r="E13" s="340"/>
      <c r="F13" s="340"/>
      <c r="G13" s="340"/>
      <c r="H13" s="340"/>
      <c r="I13" s="340"/>
    </row>
    <row r="14" spans="1:11" s="41" customFormat="1" ht="30" customHeight="1">
      <c r="A14" s="33">
        <v>5</v>
      </c>
      <c r="B14" s="47" t="s">
        <v>318</v>
      </c>
      <c r="C14" s="37" t="s">
        <v>313</v>
      </c>
      <c r="D14" s="31">
        <f t="shared" si="1"/>
        <v>2.669</v>
      </c>
      <c r="E14" s="31"/>
      <c r="F14" s="31"/>
      <c r="G14" s="31"/>
      <c r="H14" s="31">
        <v>2.262</v>
      </c>
      <c r="I14" s="31">
        <f>2.669-H14-G14-F14-E14</f>
        <v>0.40700000000000003</v>
      </c>
    </row>
    <row r="15" spans="1:11" s="41" customFormat="1" ht="30" customHeight="1">
      <c r="A15" s="33">
        <v>6</v>
      </c>
      <c r="B15" s="46" t="s">
        <v>314</v>
      </c>
      <c r="C15" s="48" t="s">
        <v>315</v>
      </c>
      <c r="D15" s="31">
        <f t="shared" ref="D15:D16" si="2">SUM(E15:I15)</f>
        <v>5.907</v>
      </c>
      <c r="E15" s="31"/>
      <c r="F15" s="31"/>
      <c r="G15" s="31"/>
      <c r="H15" s="31">
        <v>5.0060000000000002</v>
      </c>
      <c r="I15" s="31">
        <f>5.907-H15-G15-F15-E15</f>
        <v>0.9009999999999998</v>
      </c>
    </row>
    <row r="16" spans="1:11" s="41" customFormat="1" ht="30" customHeight="1">
      <c r="A16" s="33">
        <v>7</v>
      </c>
      <c r="B16" s="46" t="s">
        <v>316</v>
      </c>
      <c r="C16" s="48" t="s">
        <v>317</v>
      </c>
      <c r="D16" s="31">
        <f t="shared" si="2"/>
        <v>8.07</v>
      </c>
      <c r="E16" s="31">
        <v>6.3049999999999997</v>
      </c>
      <c r="F16" s="31"/>
      <c r="G16" s="31"/>
      <c r="H16" s="31">
        <v>0.53400000000000003</v>
      </c>
      <c r="I16" s="31">
        <f>8.07-H16-G16-F16-E16</f>
        <v>1.2310000000000008</v>
      </c>
    </row>
    <row r="19" spans="1:46" s="50" customFormat="1" ht="21.75" customHeight="1">
      <c r="A19" s="300" t="s">
        <v>319</v>
      </c>
      <c r="B19" s="300"/>
      <c r="C19" s="51"/>
      <c r="D19" s="49"/>
      <c r="E19" s="52"/>
      <c r="F19" s="53" t="s">
        <v>349</v>
      </c>
      <c r="G19" s="54"/>
      <c r="H19" s="54"/>
      <c r="J19" s="54"/>
      <c r="L19" s="52"/>
      <c r="M19" s="52"/>
      <c r="N19" s="52"/>
      <c r="O19" s="52"/>
      <c r="P19" s="52"/>
      <c r="Q19" s="52"/>
      <c r="R19" s="315"/>
      <c r="S19" s="315"/>
      <c r="T19" s="52"/>
      <c r="U19" s="52"/>
      <c r="V19" s="52"/>
      <c r="Y19" s="52"/>
      <c r="Z19" s="52"/>
      <c r="AA19" s="52"/>
      <c r="AB19" s="52"/>
      <c r="AC19" s="52"/>
      <c r="AD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</row>
  </sheetData>
  <mergeCells count="15">
    <mergeCell ref="G1:I1"/>
    <mergeCell ref="E5:I5"/>
    <mergeCell ref="E6:I6"/>
    <mergeCell ref="A19:B19"/>
    <mergeCell ref="R19:S19"/>
    <mergeCell ref="A5:A7"/>
    <mergeCell ref="B5:B7"/>
    <mergeCell ref="C5:C7"/>
    <mergeCell ref="D5:D7"/>
    <mergeCell ref="E12:E13"/>
    <mergeCell ref="I12:I13"/>
    <mergeCell ref="D12:D13"/>
    <mergeCell ref="F12:F13"/>
    <mergeCell ref="G12:G13"/>
    <mergeCell ref="H12:H13"/>
  </mergeCells>
  <pageMargins left="0.19685039370078741" right="0.19685039370078741" top="0.59055118110236227" bottom="0.43307086614173229" header="0" footer="0"/>
  <pageSetup paperSize="9" scale="88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Таблица № 4.1.</vt:lpstr>
      <vt:lpstr>Табл. 4.2 испр</vt:lpstr>
      <vt:lpstr>2018</vt:lpstr>
      <vt:lpstr>2019</vt:lpstr>
      <vt:lpstr>2020</vt:lpstr>
      <vt:lpstr>2021</vt:lpstr>
      <vt:lpstr>2022</vt:lpstr>
      <vt:lpstr>'2018'!Область_печати</vt:lpstr>
      <vt:lpstr>'2019'!Область_печати</vt:lpstr>
      <vt:lpstr>'2020'!Область_печати</vt:lpstr>
      <vt:lpstr>'2021'!Область_печати</vt:lpstr>
      <vt:lpstr>'2022'!Область_печати</vt:lpstr>
      <vt:lpstr>'Табл. 4.2 испр'!Область_печати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Синтонен Сергей Сергеевич</dc:creator>
  <cp:lastModifiedBy>Вера Васильевна Ульянкова</cp:lastModifiedBy>
  <cp:lastPrinted>2018-02-25T21:05:35Z</cp:lastPrinted>
  <dcterms:created xsi:type="dcterms:W3CDTF">2013-02-08T07:51:46Z</dcterms:created>
  <dcterms:modified xsi:type="dcterms:W3CDTF">2018-02-26T06:33:29Z</dcterms:modified>
</cp:coreProperties>
</file>