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45" windowWidth="15570" windowHeight="9375" activeTab="1"/>
  </bookViews>
  <sheets>
    <sheet name="таблица 4.1." sheetId="9" r:id="rId1"/>
    <sheet name="таблица 4.2." sheetId="8" r:id="rId2"/>
    <sheet name="Расшифровка мероприятий " sheetId="11" r:id="rId3"/>
  </sheets>
  <definedNames>
    <definedName name="_xlnm.Print_Area" localSheetId="2">'Расшифровка мероприятий '!$A$1:$I$37</definedName>
    <definedName name="_xlnm.Print_Area" localSheetId="1">'таблица 4.2.'!$A$1:$BU$49</definedName>
  </definedNames>
  <calcPr calcId="125725"/>
</workbook>
</file>

<file path=xl/calcChain.xml><?xml version="1.0" encoding="utf-8"?>
<calcChain xmlns="http://schemas.openxmlformats.org/spreadsheetml/2006/main">
  <c r="BL32" i="9"/>
  <c r="BL74"/>
  <c r="BL80"/>
  <c r="BL43"/>
  <c r="BL18"/>
  <c r="BL79"/>
  <c r="E21" i="11"/>
  <c r="E17"/>
  <c r="E16"/>
  <c r="E15"/>
  <c r="E14"/>
  <c r="E13"/>
  <c r="E23"/>
  <c r="E22"/>
  <c r="H34"/>
  <c r="E33"/>
  <c r="I33" l="1"/>
  <c r="E32"/>
  <c r="I32" s="1"/>
  <c r="F31"/>
  <c r="I31" s="1"/>
  <c r="F30"/>
  <c r="I30" s="1"/>
  <c r="F29"/>
  <c r="F28"/>
  <c r="I28" s="1"/>
  <c r="F27"/>
  <c r="I27" s="1"/>
  <c r="F26"/>
  <c r="I26" s="1"/>
  <c r="F25"/>
  <c r="F24"/>
  <c r="I24" s="1"/>
  <c r="I23"/>
  <c r="I22"/>
  <c r="I21"/>
  <c r="F20"/>
  <c r="I20" s="1"/>
  <c r="F19"/>
  <c r="I19" s="1"/>
  <c r="G18"/>
  <c r="I18" s="1"/>
  <c r="I17"/>
  <c r="I16"/>
  <c r="I15"/>
  <c r="I14"/>
  <c r="I13"/>
  <c r="G12"/>
  <c r="E10"/>
  <c r="I10" s="1"/>
  <c r="BJ21" i="8"/>
  <c r="BJ13"/>
  <c r="G9" i="11" l="1"/>
  <c r="F9"/>
  <c r="D10"/>
  <c r="D30"/>
  <c r="D17"/>
  <c r="D33"/>
  <c r="D31"/>
  <c r="D13"/>
  <c r="D21"/>
  <c r="D14"/>
  <c r="D20"/>
  <c r="D24"/>
  <c r="D28"/>
  <c r="D16"/>
  <c r="D18"/>
  <c r="D22"/>
  <c r="D26"/>
  <c r="D15"/>
  <c r="D19"/>
  <c r="D23"/>
  <c r="D27"/>
  <c r="D32"/>
  <c r="I12"/>
  <c r="I25"/>
  <c r="I29"/>
  <c r="BJ30" i="8"/>
  <c r="D25" i="11" l="1"/>
  <c r="D12"/>
  <c r="D29"/>
  <c r="BL45" i="9" l="1"/>
  <c r="BL35"/>
  <c r="BL34" s="1"/>
  <c r="BL28"/>
  <c r="BL25"/>
  <c r="BL23"/>
  <c r="BL20" s="1"/>
  <c r="BL17"/>
  <c r="BL89" l="1"/>
  <c r="BL15"/>
  <c r="BL82" s="1"/>
  <c r="BL19"/>
  <c r="BL83" s="1"/>
  <c r="BL33" l="1"/>
  <c r="BL42" s="1"/>
  <c r="BL87" l="1"/>
  <c r="BJ28" i="8"/>
  <c r="BJ26" s="1"/>
  <c r="BL84" i="9" l="1"/>
  <c r="BL44"/>
  <c r="BJ25" i="8"/>
  <c r="BJ20" s="1"/>
  <c r="BJ14" s="1"/>
  <c r="BJ38" l="1"/>
  <c r="H9" i="11"/>
  <c r="I34" l="1"/>
  <c r="I9" s="1"/>
  <c r="E9"/>
  <c r="D34" l="1"/>
  <c r="D9" s="1"/>
</calcChain>
</file>

<file path=xl/sharedStrings.xml><?xml version="1.0" encoding="utf-8"?>
<sst xmlns="http://schemas.openxmlformats.org/spreadsheetml/2006/main" count="299" uniqueCount="245">
  <si>
    <t>№ п/п</t>
  </si>
  <si>
    <t>млн.рублей</t>
  </si>
  <si>
    <t>1</t>
  </si>
  <si>
    <t>1.1</t>
  </si>
  <si>
    <t>1.2</t>
  </si>
  <si>
    <t>1.3</t>
  </si>
  <si>
    <t>1.4</t>
  </si>
  <si>
    <t>1.5</t>
  </si>
  <si>
    <t>1.1.1</t>
  </si>
  <si>
    <t>2.1</t>
  </si>
  <si>
    <t>2.2</t>
  </si>
  <si>
    <t>2.3</t>
  </si>
  <si>
    <t>2.4</t>
  </si>
  <si>
    <t>2.5</t>
  </si>
  <si>
    <t>2.6</t>
  </si>
  <si>
    <t>2.7</t>
  </si>
  <si>
    <t>Справочно:</t>
  </si>
  <si>
    <t>2</t>
  </si>
  <si>
    <t>3</t>
  </si>
  <si>
    <t>4</t>
  </si>
  <si>
    <t>Источники финансирования инвестиционных программ
(в прогнозных ценах соответствующих лет), млн. рублей</t>
  </si>
  <si>
    <t>М.П.</t>
  </si>
  <si>
    <t>№ №</t>
  </si>
  <si>
    <t>Источник финансирования</t>
  </si>
  <si>
    <t>Прибыль, направляемая на инвестиции: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</si>
  <si>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</si>
  <si>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</si>
  <si>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</si>
  <si>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</si>
  <si>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</si>
  <si>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</si>
  <si>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</si>
  <si>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</si>
  <si>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</si>
  <si>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Прочая прибыль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</si>
  <si>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</si>
  <si>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</si>
  <si>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</si>
  <si>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</si>
  <si>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</si>
  <si>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</si>
  <si>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</si>
  <si>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</si>
  <si>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1.4.1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</si>
  <si>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</si>
  <si>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</si>
  <si>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</si>
  <si>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</si>
  <si>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</si>
  <si>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</si>
  <si>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</si>
  <si>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</si>
  <si>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</si>
  <si>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Прочие привлеченные средства</t>
  </si>
  <si>
    <t>ВСЕГО источников финансирования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</si>
  <si>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</si>
  <si>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</si>
  <si>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</si>
  <si>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</si>
  <si>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</si>
  <si>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</si>
  <si>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 xml:space="preserve">в т.ч. средства  за  счёт арендной платы (арендодатель ГОУТП "ТЭКОС") </t>
  </si>
  <si>
    <t>УТВЕРЖДАЮ</t>
  </si>
  <si>
    <t>Исполнители:</t>
  </si>
  <si>
    <t>1.4.2</t>
  </si>
  <si>
    <t>Приложение № 4.2
к Приказу Минэнерго России
от 24.03.2010 № 114</t>
  </si>
  <si>
    <t>Приложение № 4.1
к Приказу Минэнерго России
от 24.03.2010 № 114</t>
  </si>
  <si>
    <t>Показатели</t>
  </si>
  <si>
    <t>I</t>
  </si>
  <si>
    <t>Выручка от реализации товаров (работ, услуг), всего</t>
  </si>
  <si>
    <t>в том числе:</t>
  </si>
  <si>
    <t>Выручка от основной деятельности : услуги по передаче электрической энергии</t>
  </si>
  <si>
    <t>II</t>
  </si>
  <si>
    <t>Материальные расходы, всего</t>
  </si>
  <si>
    <t>Топливо</t>
  </si>
  <si>
    <t>Сырье, материалы, запасные части, инструменты</t>
  </si>
  <si>
    <t>Покупная электроэнергия</t>
  </si>
  <si>
    <t>Расходы на оплату труда с учетом ЕСН</t>
  </si>
  <si>
    <t>Амортизационные отчисления</t>
  </si>
  <si>
    <t>Налоги и сборы, всего</t>
  </si>
  <si>
    <t>5</t>
  </si>
  <si>
    <t>Прочие расходы, всего</t>
  </si>
  <si>
    <t>5.1</t>
  </si>
  <si>
    <t>Ремонт основных средств</t>
  </si>
  <si>
    <t>5.3</t>
  </si>
  <si>
    <t>Платежи по аренде и лизингу</t>
  </si>
  <si>
    <t>5.4</t>
  </si>
  <si>
    <t>Инфраструктурные платежи рынка</t>
  </si>
  <si>
    <t>III</t>
  </si>
  <si>
    <t>Валовая прибыль (I р. - II р.)</t>
  </si>
  <si>
    <t>IV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</si>
  <si>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</si>
  <si>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</si>
  <si>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</si>
  <si>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</si>
  <si>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</si>
  <si>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</si>
  <si>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</si>
  <si>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</si>
  <si>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Прибыль до налогообложения (III + IV)</t>
  </si>
  <si>
    <t>VI</t>
  </si>
  <si>
    <t>Налог на прибыль</t>
  </si>
  <si>
    <t>VII</t>
  </si>
  <si>
    <t>Чистая прибыль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</si>
  <si>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</si>
  <si>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</si>
  <si>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</si>
  <si>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</si>
  <si>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</si>
  <si>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</si>
  <si>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</si>
  <si>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</si>
  <si>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</si>
  <si>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</si>
  <si>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Сальдо (+ увеличение; - сокращение)</t>
  </si>
  <si>
    <t>X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</si>
  <si>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</si>
  <si>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</si>
  <si>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</si>
  <si>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</si>
  <si>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</si>
  <si>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</si>
  <si>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</si>
  <si>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 *</t>
  </si>
  <si>
    <t>Прочие цели (расшифровка)</t>
  </si>
  <si>
    <t>XII</t>
  </si>
  <si>
    <t>Погашение заемных средств</t>
  </si>
  <si>
    <t>в том числе по:</t>
  </si>
  <si>
    <t>Инвестиционной программе</t>
  </si>
  <si>
    <t>XIII</t>
  </si>
  <si>
    <r>
      <t xml:space="preserve">Возмещаемый НДС </t>
    </r>
    <r>
      <rPr>
        <sz val="10"/>
        <rFont val="Times New Roman"/>
        <family val="1"/>
        <charset val="204"/>
      </rPr>
      <t>(поступления)</t>
    </r>
  </si>
  <si>
    <t>XIV</t>
  </si>
  <si>
    <t>Купля/продажа активов</t>
  </si>
  <si>
    <t>Покупка активов (акций, долей и т.п.)</t>
  </si>
  <si>
    <t>Продажа активов (акций, долей и т.п.)</t>
  </si>
  <si>
    <t>XV</t>
  </si>
  <si>
    <t>Средства, полученные от допэмиссии акций</t>
  </si>
  <si>
    <t>XVI</t>
  </si>
  <si>
    <t>Всего поступления
(I р. + 1 п. IV р. + 2 п. IX р. + 1 п. X р. + XI р. + XIII р. + 2 п. XVI р. + XV р.)</t>
  </si>
  <si>
    <t>XVII</t>
  </si>
  <si>
    <t>Всего расходы
(II р. - 3 п. II р. + 2 п. IV р. + 1 п. IX р. + 2 п. X р. + VI р. + VIII р. + XII р. + 1 п. XIV р. + XVI р.)</t>
  </si>
  <si>
    <t>EBITDA</t>
  </si>
  <si>
    <t>Долг на конец периода</t>
  </si>
  <si>
    <t>Прогноз тарифов</t>
  </si>
  <si>
    <t>Заполняется ОГК/ТГК.</t>
  </si>
  <si>
    <t>2017г  КТР-тариф</t>
  </si>
  <si>
    <t>Собственные средства  ( с НДС)</t>
  </si>
  <si>
    <t>(815 35) 7 37 35</t>
  </si>
  <si>
    <t xml:space="preserve">Финансовый план на период реализации инвестиционной программы
</t>
  </si>
  <si>
    <t>Зам. генерального директора по экономике и финансам   ________________________________А.А.Степанов</t>
  </si>
  <si>
    <t>Ульянкова В.В.</t>
  </si>
  <si>
    <t>-</t>
  </si>
  <si>
    <t>Генеральный директор                    АО "МЭС"</t>
  </si>
  <si>
    <t>___________А.Ю.Филиппов</t>
  </si>
  <si>
    <t xml:space="preserve">          Генеральный директор   АО "МЭС"</t>
  </si>
  <si>
    <t xml:space="preserve">           УТВЕРЖДАЮ</t>
  </si>
  <si>
    <t>"______"   ___________  2017г</t>
  </si>
  <si>
    <t xml:space="preserve">         ____________________А.Ю. Филиппов</t>
  </si>
  <si>
    <t xml:space="preserve">           "_____" ________________ 2017г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</si>
  <si>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</si>
  <si>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</si>
  <si>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ВСЕГО</t>
  </si>
  <si>
    <t>Реконструкция головного фидера ПС-40А-ф46 оп.2 ВЛ-РП-1 (Ковдорская электросеть)</t>
  </si>
  <si>
    <t>Н_Кр_КЛ_1111.01</t>
  </si>
  <si>
    <t>Реконструкция головного фидера ПС-40А-ф29 оп.2 ВЛ-РП-1 (Ковдорская электросеть)</t>
  </si>
  <si>
    <t xml:space="preserve">Модернизация электрооборудования РУ 10 кв распределительной подстанции РП-140. </t>
  </si>
  <si>
    <t>Н_Кр_РП140_111231.01</t>
  </si>
  <si>
    <t xml:space="preserve"> ТП43 -ТСМА-6/0,4-320кВА зав.№ 42103 ввод в эксплуатацию1964г. на ТМГ 6/0,4-400 кВА - 1шт;  </t>
  </si>
  <si>
    <t>Н_Кр_ТП43_111231.22</t>
  </si>
  <si>
    <t xml:space="preserve"> ТП47-ТСГ 6/,4--315кВА, зав.№ 23660, ввод в эксплуатацию1964г. на ТМГ 6/0,4-400 кВА  - 1 шт,    </t>
  </si>
  <si>
    <t>Н_Кр_ТП47_111231.23</t>
  </si>
  <si>
    <t xml:space="preserve">ТП45(н) ТСМА 6/0,4-320кВА зав.№ 913, ввод в эксплуатацию1968г. на ТМГ 6/0,4-400 кВА  - 1 шт;     </t>
  </si>
  <si>
    <t>Н_Кр_ТП45(н)_111231.24</t>
  </si>
  <si>
    <t xml:space="preserve"> ТП102 ТМ 10/0,4-400кВА, зав.№ 38544 и № 38613, ввод в эксплуатацию1965г.на ТМГ 6/0,4- 400 кВА - 2шт. ;  </t>
  </si>
  <si>
    <t>Н_Кр_ТП102_111231.25</t>
  </si>
  <si>
    <t>ТП 68 - ТМ-6/0,4-250кВА зав.№ 338880, ввод в эксплуатацию1970г. на ТМГ 6/0,4-400 кВА -  1 шт .</t>
  </si>
  <si>
    <t>Н_Кр_ТП68_111231.26</t>
  </si>
  <si>
    <t>Замена масляных выключателей ВМП-10К на выкатные элементы ВЭ (КРУ-2-10) 10-20/630А с вакуумными выключателями ВВ-ТЕL на ПС-26 ЗРУ-6кв яч. № 18, № 19, № 22, № 23, №  12, № 21, № 7  7 шт.</t>
  </si>
  <si>
    <t>Н_ПрЗ_ПС26_111232.01</t>
  </si>
  <si>
    <t>Н_ПрН_ТП11_111232.02</t>
  </si>
  <si>
    <t xml:space="preserve">КТП-27  г.Заполярный    ТМ  6/0,4 400 кВА  на  ТМГ - 6/0,4 кВ  400 кВА  -   1шт.  </t>
  </si>
  <si>
    <t>Н_ПрЗ_КТП27_111232.03</t>
  </si>
  <si>
    <t xml:space="preserve">КТП-28  г.Заполярный    ТМ  6/0,4 400 кВА  на  ТМГ - 6/0,4 кВ  400 кВА  -   1шт.  </t>
  </si>
  <si>
    <t>Н_ПрЗ_КТП28_111232.04</t>
  </si>
  <si>
    <t xml:space="preserve">ТП-7  п.г.т. Никель     ТМ  10/0,4   630 кВА  на  ТМГ - 10/0,4 кВ  630 кВА  -   2шт.  </t>
  </si>
  <si>
    <t>Н_ПрН_ТП7_111232.05</t>
  </si>
  <si>
    <t xml:space="preserve">ТП-24  г.Заполярный    ТМ  6/0,4   630 кВА  на  ТМГ - 6/0,4 кВ  630 кВА  -   2шт.  </t>
  </si>
  <si>
    <t>Н_ПрЗ_ТП24_111232.06</t>
  </si>
  <si>
    <t>Щит диспетчерский универсальный ЩДУ или ЩДМ-25 ( в комплекте стол диспетчерский СДУ-1)</t>
  </si>
  <si>
    <t>Н_Кр_ОС_17421.01</t>
  </si>
  <si>
    <t>Приёмник ПОИСК-2006М  1 шт</t>
  </si>
  <si>
    <t>Н_Кр_ОС_17421.02</t>
  </si>
  <si>
    <t>Прибор для измерения показателей качества электрической энергии "Прорыв КЭ-А" 2 шт</t>
  </si>
  <si>
    <t>Н_Кр_ОС_17421.03</t>
  </si>
  <si>
    <t>Мотокоса HUSOVARNA  545FX  кусторез/ станок сверлильный  СН-16</t>
  </si>
  <si>
    <t>Н_Кр_ОС_17421.04</t>
  </si>
  <si>
    <t>Бензорез  TS 500</t>
  </si>
  <si>
    <t>Н_Кр_ОС_17421.05</t>
  </si>
  <si>
    <t>Кабелетрассоискатель АТЛЕТ  ТЭК-227Н (поиск повреждений КЛ)</t>
  </si>
  <si>
    <t>Н_Пр_ОС_17422.01</t>
  </si>
  <si>
    <t>Прибор контроля силовых трансформаторов МИКО-8 в комплекте с измерительным кабелем</t>
  </si>
  <si>
    <t>Н_Пр_ОС_17422.02</t>
  </si>
  <si>
    <t>Прибор для измерения электрической прочности изоляции силовых в/в кабелей АИД-70М    2 шт.</t>
  </si>
  <si>
    <t>Н_Пр_ОС_17422.03</t>
  </si>
  <si>
    <t>Грузопассжирский фургон 7 мест  УАЗ-390995     1 ед</t>
  </si>
  <si>
    <t>Н_Кр_ТС_1751.01</t>
  </si>
  <si>
    <t>Грузопассажирский фургон   5 мест  УАЗ-390945  3 ед</t>
  </si>
  <si>
    <t>Н_Пр_ТС_1752.01</t>
  </si>
  <si>
    <t>Н_Пр_ТС_1752.02</t>
  </si>
  <si>
    <t>в том   числе:</t>
  </si>
  <si>
    <t xml:space="preserve">ТП-11  пгт Никель   ТМ  10/0,4 560 кВА  на  ТМГ 10/0,4 кВ  400 кВА -   1шт.  </t>
  </si>
  <si>
    <t>Общий объем финансирования</t>
  </si>
  <si>
    <t>Инвестиционная составляющая в тарифе</t>
  </si>
  <si>
    <t xml:space="preserve">Средства  за  счёт арендной платы (арендодатель ГОУТП "ТЭКОС") </t>
  </si>
  <si>
    <t>А. Е. Кобытев</t>
  </si>
  <si>
    <t>Заместитель главного инженера  по электрообеспечению</t>
  </si>
  <si>
    <t>в т.ч. в части ДПМ **</t>
  </si>
  <si>
    <t>Расходы по текущей деятельности ( услуги по передаче ээ), всего</t>
  </si>
  <si>
    <t xml:space="preserve">Расшифровка   мероприятий  по  источникам финансирования  к   приложению  № 4.2. </t>
  </si>
  <si>
    <t>Продолжение   приложения № 4.2.</t>
  </si>
  <si>
    <t>Электро-лаборатория ЛВИ  HVT 3AG на ГАЗ-33088  1 ед*</t>
  </si>
  <si>
    <t xml:space="preserve">Мероприятие  по приобретению электро-лаборатории ЛВИ HVT 3AG на ГАЗ-33088  1 ед    не  вполнено  в  2016  году   в связи  с закупочными  процедурами,  закупка  основного средства перенесена на  2017 год   за счёт  полученной прибыли  от  прочей  деятельности  текущего года.   </t>
  </si>
  <si>
    <t>Источники  финансирования  ( млн. руб)</t>
  </si>
  <si>
    <t>Прочая прибыль***</t>
  </si>
  <si>
    <t>Примечание</t>
  </si>
  <si>
    <t>для ОГК/ТГК, в том числе **</t>
  </si>
  <si>
    <t>утверждено  в  тарифе  инвест. составл.  14,797 млн. руб</t>
  </si>
  <si>
    <t xml:space="preserve">План *
2017г  </t>
  </si>
  <si>
    <t>План согласован  Министерство энергетики и ЖКХ Мурманской области</t>
  </si>
  <si>
    <t>из них:</t>
  </si>
  <si>
    <t xml:space="preserve"> капитальные вложения( учтено в тарифе  инвест. составляющая 14,797 +1,816 )</t>
  </si>
  <si>
    <t>***</t>
  </si>
  <si>
    <t>Недоиспользованная прибыль  прошлых лет</t>
  </si>
  <si>
    <t xml:space="preserve"> капитальные вложения  за  счёт  прибыли прошлых лет </t>
  </si>
  <si>
    <t>Капитальные вложения учтено  в тарифе (без НДС) ( инвест. составл. 14,797 + 1,816)</t>
  </si>
  <si>
    <t>Справка:</t>
  </si>
  <si>
    <t xml:space="preserve"> капитальные вложения, всего  ( без НДС)</t>
  </si>
  <si>
    <t xml:space="preserve">Недоиспользованная прибыль, утверждённая  в тарифе  на  инвест.программу  за 2016 год.    </t>
  </si>
  <si>
    <t>Сальдо (+ профицит; - дефицит)
(XVI р. - XVII р.)***</t>
  </si>
  <si>
    <t>Затраты на капитальные вложения  учтены  в  составе арендной платы</t>
  </si>
  <si>
    <t>Выручка от прочей деятельности ( прибыль 5,5 млн. руб + 1,1 млн. руб)</t>
  </si>
  <si>
    <t xml:space="preserve"> капитальные вложения  за  счёт   арендной платы (средства арендодателя ГОУТП "ТЭКОС")**</t>
  </si>
  <si>
    <t>Недоиспользованная прибыль прошлых лет( исполнение  ивестиционной составляющей  за 2016 год)</t>
  </si>
  <si>
    <t>в т.ч. инвестиционная составляющая в тарифе  ( без НДС)</t>
  </si>
  <si>
    <t>Прочие собственные средства  ( без НДС)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</si>
</sst>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EE6F6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DEFFF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205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horizontal="right"/>
    </xf>
    <xf numFmtId="164" fontId="5" fillId="0" borderId="0" xfId="0" applyNumberFormat="1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7" fillId="0" borderId="0" xfId="0" applyFont="1"/>
    <xf numFmtId="164" fontId="5" fillId="0" borderId="0" xfId="0" applyNumberFormat="1" applyFont="1"/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14" fillId="3" borderId="4" xfId="0" applyFont="1" applyFill="1" applyBorder="1" applyAlignment="1">
      <alignment horizontal="center" wrapText="1"/>
    </xf>
    <xf numFmtId="0" fontId="15" fillId="4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wrapText="1"/>
    </xf>
    <xf numFmtId="164" fontId="14" fillId="3" borderId="4" xfId="0" applyNumberFormat="1" applyFont="1" applyFill="1" applyBorder="1" applyAlignment="1">
      <alignment horizont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0" xfId="0" applyFont="1" applyFill="1"/>
    <xf numFmtId="0" fontId="15" fillId="4" borderId="4" xfId="0" applyFont="1" applyFill="1" applyBorder="1" applyAlignment="1">
      <alignment horizontal="left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 wrapText="1"/>
    </xf>
    <xf numFmtId="164" fontId="0" fillId="0" borderId="0" xfId="0" applyNumberFormat="1"/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164" fontId="1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6" fillId="0" borderId="0" xfId="2" applyFont="1"/>
    <xf numFmtId="0" fontId="16" fillId="0" borderId="7" xfId="2" applyFont="1" applyBorder="1"/>
    <xf numFmtId="0" fontId="17" fillId="0" borderId="7" xfId="0" applyFont="1" applyBorder="1" applyAlignment="1">
      <alignment wrapText="1"/>
    </xf>
    <xf numFmtId="0" fontId="16" fillId="0" borderId="0" xfId="2" applyFont="1" applyBorder="1" applyAlignment="1"/>
    <xf numFmtId="0" fontId="16" fillId="0" borderId="0" xfId="2" applyFont="1" applyAlignment="1"/>
    <xf numFmtId="0" fontId="17" fillId="0" borderId="0" xfId="0" applyFont="1" applyBorder="1" applyAlignment="1">
      <alignment wrapText="1"/>
    </xf>
    <xf numFmtId="164" fontId="7" fillId="0" borderId="0" xfId="0" applyNumberFormat="1" applyFont="1" applyBorder="1" applyAlignment="1">
      <alignment horizontal="center" vertical="center"/>
    </xf>
    <xf numFmtId="0" fontId="19" fillId="0" borderId="0" xfId="0" applyFont="1" applyAlignment="1"/>
    <xf numFmtId="0" fontId="20" fillId="0" borderId="0" xfId="0" applyFont="1" applyAlignment="1"/>
    <xf numFmtId="0" fontId="5" fillId="0" borderId="4" xfId="0" applyFont="1" applyBorder="1" applyAlignment="1">
      <alignment vertical="center" wrapText="1"/>
    </xf>
    <xf numFmtId="0" fontId="5" fillId="6" borderId="4" xfId="0" applyFont="1" applyFill="1" applyBorder="1" applyAlignment="1">
      <alignment vertical="center"/>
    </xf>
    <xf numFmtId="164" fontId="5" fillId="6" borderId="4" xfId="0" applyNumberFormat="1" applyFont="1" applyFill="1" applyBorder="1" applyAlignment="1">
      <alignment vertical="center"/>
    </xf>
    <xf numFmtId="164" fontId="5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2" fontId="5" fillId="0" borderId="0" xfId="0" applyNumberFormat="1" applyFont="1"/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10" xfId="0" applyFont="1" applyBorder="1" applyAlignment="1">
      <alignment horizontal="left" vertical="center" wrapText="1"/>
    </xf>
    <xf numFmtId="164" fontId="7" fillId="0" borderId="14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5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49" fontId="7" fillId="0" borderId="2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164" fontId="7" fillId="0" borderId="25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7" fillId="0" borderId="19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25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5" fillId="6" borderId="4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/>
    </xf>
    <xf numFmtId="164" fontId="7" fillId="6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  <xf numFmtId="0" fontId="7" fillId="6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0" xfId="0" applyFont="1" applyAlignment="1">
      <alignment horizontal="right" vertical="top" wrapText="1"/>
    </xf>
    <xf numFmtId="0" fontId="0" fillId="0" borderId="2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left" wrapText="1"/>
    </xf>
    <xf numFmtId="0" fontId="15" fillId="0" borderId="4" xfId="0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7" xfId="2"/>
  </cellStyles>
  <dxfs count="0"/>
  <tableStyles count="0" defaultTableStyle="TableStyleMedium2" defaultPivotStyle="PivotStyleLight16"/>
  <colors>
    <mruColors>
      <color rgb="FFFDEFFF"/>
      <color rgb="FFFFFFCD"/>
      <color rgb="FFF0FFCD"/>
      <color rgb="FFFEFFE5"/>
      <color rgb="FFFEE6F6"/>
      <color rgb="FFFFFF99"/>
      <color rgb="FFFCDB88"/>
      <color rgb="FFF9F9F9"/>
      <color rgb="FFD9FFF2"/>
      <color rgb="FFF9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97"/>
  <sheetViews>
    <sheetView view="pageBreakPreview" topLeftCell="A72" zoomScale="115" zoomScaleSheetLayoutView="115" workbookViewId="0">
      <selection activeCell="E91" sqref="E91:BX92"/>
    </sheetView>
  </sheetViews>
  <sheetFormatPr defaultColWidth="0.85546875" defaultRowHeight="12.75"/>
  <cols>
    <col min="1" max="58" width="0.85546875" style="2"/>
    <col min="59" max="59" width="15.5703125" style="2" customWidth="1"/>
    <col min="60" max="72" width="0.85546875" style="2"/>
    <col min="73" max="73" width="15.28515625" style="2" customWidth="1"/>
    <col min="74" max="78" width="0.85546875" style="2"/>
    <col min="79" max="79" width="6.5703125" style="2" bestFit="1" customWidth="1"/>
    <col min="80" max="16384" width="0.85546875" style="2"/>
  </cols>
  <sheetData>
    <row r="1" spans="1:97" ht="33.75" customHeight="1">
      <c r="BG1" s="86" t="s">
        <v>66</v>
      </c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</row>
    <row r="3" spans="1:97" s="3" customFormat="1" ht="48" customHeight="1">
      <c r="A3" s="103" t="s">
        <v>148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22"/>
    </row>
    <row r="5" spans="1:97" ht="24.75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BF5" s="10"/>
      <c r="BG5" s="10"/>
      <c r="BH5" s="84" t="s">
        <v>62</v>
      </c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23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</row>
    <row r="6" spans="1:97" ht="30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BF6" s="1"/>
      <c r="BG6" s="1"/>
      <c r="BH6" s="85" t="s">
        <v>152</v>
      </c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</row>
    <row r="7" spans="1:97" s="6" customFormat="1" ht="31.5" customHeight="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1"/>
      <c r="BG7" s="1"/>
      <c r="BH7" s="85" t="s">
        <v>153</v>
      </c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24"/>
      <c r="BY7" s="24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</row>
    <row r="8" spans="1:97" ht="27.75" customHeight="1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BF8" s="1"/>
      <c r="BG8" s="1"/>
      <c r="BH8" s="85" t="s">
        <v>156</v>
      </c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24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</row>
    <row r="9" spans="1:97" ht="15.75" customHeight="1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7"/>
      <c r="BF9" s="12"/>
      <c r="BG9" s="12"/>
      <c r="BH9" s="102" t="s">
        <v>21</v>
      </c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</row>
    <row r="11" spans="1:97" ht="13.5" thickBot="1">
      <c r="BU11" s="2" t="s">
        <v>1</v>
      </c>
    </row>
    <row r="12" spans="1:97" ht="22.5" customHeight="1">
      <c r="A12" s="94" t="s">
        <v>0</v>
      </c>
      <c r="B12" s="95"/>
      <c r="C12" s="95"/>
      <c r="D12" s="95"/>
      <c r="E12" s="95"/>
      <c r="F12" s="95"/>
      <c r="G12" s="96"/>
      <c r="H12" s="100" t="s">
        <v>67</v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6"/>
      <c r="BL12" s="88" t="s">
        <v>145</v>
      </c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90"/>
    </row>
    <row r="13" spans="1:97" ht="35.25" customHeight="1">
      <c r="A13" s="97"/>
      <c r="B13" s="98"/>
      <c r="C13" s="98"/>
      <c r="D13" s="98"/>
      <c r="E13" s="98"/>
      <c r="F13" s="98"/>
      <c r="G13" s="99"/>
      <c r="H13" s="101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9"/>
      <c r="BL13" s="91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3"/>
    </row>
    <row r="14" spans="1:97" ht="13.5" thickBot="1">
      <c r="A14" s="87">
        <v>1</v>
      </c>
      <c r="B14" s="68"/>
      <c r="C14" s="68"/>
      <c r="D14" s="68"/>
      <c r="E14" s="68"/>
      <c r="F14" s="68"/>
      <c r="G14" s="69"/>
      <c r="H14" s="67">
        <v>2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9"/>
      <c r="BL14" s="67">
        <v>3</v>
      </c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9"/>
    </row>
    <row r="15" spans="1:97" s="18" customFormat="1">
      <c r="A15" s="116" t="s">
        <v>68</v>
      </c>
      <c r="B15" s="117"/>
      <c r="C15" s="117"/>
      <c r="D15" s="117"/>
      <c r="E15" s="117"/>
      <c r="F15" s="117"/>
      <c r="G15" s="118"/>
      <c r="H15" s="119" t="s">
        <v>69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1"/>
      <c r="BL15" s="76">
        <f>BL17+BL18</f>
        <v>198.934</v>
      </c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8"/>
    </row>
    <row r="16" spans="1:97">
      <c r="A16" s="104"/>
      <c r="B16" s="105"/>
      <c r="C16" s="105"/>
      <c r="D16" s="105"/>
      <c r="E16" s="105"/>
      <c r="F16" s="105"/>
      <c r="G16" s="106"/>
      <c r="H16" s="113" t="s">
        <v>70</v>
      </c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5"/>
      <c r="BL16" s="110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2"/>
    </row>
    <row r="17" spans="1:79">
      <c r="A17" s="104" t="s">
        <v>3</v>
      </c>
      <c r="B17" s="105"/>
      <c r="C17" s="105"/>
      <c r="D17" s="105"/>
      <c r="E17" s="105"/>
      <c r="F17" s="105"/>
      <c r="G17" s="106"/>
      <c r="H17" s="107" t="s">
        <v>71</v>
      </c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9"/>
      <c r="BL17" s="110">
        <f>169.101+23.233</f>
        <v>192.334</v>
      </c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2"/>
    </row>
    <row r="18" spans="1:79" ht="13.5" thickBot="1">
      <c r="A18" s="61" t="s">
        <v>4</v>
      </c>
      <c r="B18" s="62"/>
      <c r="C18" s="62"/>
      <c r="D18" s="62"/>
      <c r="E18" s="62"/>
      <c r="F18" s="62"/>
      <c r="G18" s="63"/>
      <c r="H18" s="64" t="s">
        <v>240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L18" s="131">
        <f>5.5+5.5*20/100</f>
        <v>6.6</v>
      </c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3"/>
      <c r="CA18" s="60"/>
    </row>
    <row r="19" spans="1:79">
      <c r="A19" s="116" t="s">
        <v>72</v>
      </c>
      <c r="B19" s="117"/>
      <c r="C19" s="117"/>
      <c r="D19" s="117"/>
      <c r="E19" s="117"/>
      <c r="F19" s="117"/>
      <c r="G19" s="118"/>
      <c r="H19" s="119" t="s">
        <v>217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120"/>
      <c r="BK19" s="121"/>
      <c r="BL19" s="81">
        <f>BL20+BL25+BL26+BL27+BL28</f>
        <v>172.73099999999999</v>
      </c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3"/>
      <c r="CA19" s="19"/>
    </row>
    <row r="20" spans="1:79">
      <c r="A20" s="122" t="s">
        <v>2</v>
      </c>
      <c r="B20" s="123"/>
      <c r="C20" s="123"/>
      <c r="D20" s="123"/>
      <c r="E20" s="123"/>
      <c r="F20" s="123"/>
      <c r="G20" s="124"/>
      <c r="H20" s="125" t="s">
        <v>73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7"/>
      <c r="BL20" s="128">
        <f>BL22+BL23+BL24</f>
        <v>27.619</v>
      </c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30"/>
    </row>
    <row r="21" spans="1:79">
      <c r="A21" s="104"/>
      <c r="B21" s="105"/>
      <c r="C21" s="105"/>
      <c r="D21" s="105"/>
      <c r="E21" s="105"/>
      <c r="F21" s="105"/>
      <c r="G21" s="106"/>
      <c r="H21" s="113" t="s">
        <v>70</v>
      </c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5"/>
      <c r="BL21" s="110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2"/>
    </row>
    <row r="22" spans="1:79">
      <c r="A22" s="104" t="s">
        <v>3</v>
      </c>
      <c r="B22" s="105"/>
      <c r="C22" s="105"/>
      <c r="D22" s="105"/>
      <c r="E22" s="105"/>
      <c r="F22" s="105"/>
      <c r="G22" s="106"/>
      <c r="H22" s="113" t="s">
        <v>74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5"/>
      <c r="BL22" s="110">
        <v>2.0209999999999999</v>
      </c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2"/>
    </row>
    <row r="23" spans="1:79">
      <c r="A23" s="104" t="s">
        <v>4</v>
      </c>
      <c r="B23" s="105"/>
      <c r="C23" s="105"/>
      <c r="D23" s="105"/>
      <c r="E23" s="105"/>
      <c r="F23" s="105"/>
      <c r="G23" s="106"/>
      <c r="H23" s="113" t="s">
        <v>75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5"/>
      <c r="BL23" s="110">
        <f>4.386-2.021</f>
        <v>2.3650000000000002</v>
      </c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2"/>
    </row>
    <row r="24" spans="1:79">
      <c r="A24" s="104" t="s">
        <v>5</v>
      </c>
      <c r="B24" s="105"/>
      <c r="C24" s="105"/>
      <c r="D24" s="105"/>
      <c r="E24" s="105"/>
      <c r="F24" s="105"/>
      <c r="G24" s="106"/>
      <c r="H24" s="113" t="s">
        <v>76</v>
      </c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5"/>
      <c r="BL24" s="110">
        <v>23.233000000000001</v>
      </c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2"/>
    </row>
    <row r="25" spans="1:79">
      <c r="A25" s="122" t="s">
        <v>17</v>
      </c>
      <c r="B25" s="123"/>
      <c r="C25" s="123"/>
      <c r="D25" s="123"/>
      <c r="E25" s="123"/>
      <c r="F25" s="123"/>
      <c r="G25" s="124"/>
      <c r="H25" s="125" t="s">
        <v>77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7"/>
      <c r="BL25" s="110">
        <f>77.358+22.949</f>
        <v>100.307</v>
      </c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2"/>
    </row>
    <row r="26" spans="1:79">
      <c r="A26" s="122" t="s">
        <v>18</v>
      </c>
      <c r="B26" s="123"/>
      <c r="C26" s="123"/>
      <c r="D26" s="123"/>
      <c r="E26" s="123"/>
      <c r="F26" s="123"/>
      <c r="G26" s="124"/>
      <c r="H26" s="125" t="s">
        <v>78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6"/>
      <c r="BK26" s="127"/>
      <c r="BL26" s="110">
        <v>1.8160000000000001</v>
      </c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2"/>
    </row>
    <row r="27" spans="1:79">
      <c r="A27" s="122" t="s">
        <v>19</v>
      </c>
      <c r="B27" s="123"/>
      <c r="C27" s="123"/>
      <c r="D27" s="123"/>
      <c r="E27" s="123"/>
      <c r="F27" s="123"/>
      <c r="G27" s="124"/>
      <c r="H27" s="125" t="s">
        <v>79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  <c r="AX27" s="126"/>
      <c r="AY27" s="126"/>
      <c r="AZ27" s="126"/>
      <c r="BA27" s="126"/>
      <c r="BB27" s="126"/>
      <c r="BC27" s="126"/>
      <c r="BD27" s="126"/>
      <c r="BE27" s="126"/>
      <c r="BF27" s="126"/>
      <c r="BG27" s="126"/>
      <c r="BH27" s="126"/>
      <c r="BI27" s="126"/>
      <c r="BJ27" s="126"/>
      <c r="BK27" s="127"/>
      <c r="BL27" s="110">
        <v>0.308</v>
      </c>
      <c r="BM27" s="111"/>
      <c r="BN27" s="111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2"/>
    </row>
    <row r="28" spans="1:79">
      <c r="A28" s="122" t="s">
        <v>80</v>
      </c>
      <c r="B28" s="123"/>
      <c r="C28" s="123"/>
      <c r="D28" s="123"/>
      <c r="E28" s="123"/>
      <c r="F28" s="123"/>
      <c r="G28" s="124"/>
      <c r="H28" s="125" t="s">
        <v>81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  <c r="BH28" s="126"/>
      <c r="BI28" s="126"/>
      <c r="BJ28" s="126"/>
      <c r="BK28" s="127"/>
      <c r="BL28" s="110">
        <f>BL30+BL31+BL32</f>
        <v>42.681000000000004</v>
      </c>
      <c r="BM28" s="111"/>
      <c r="BN28" s="111"/>
      <c r="BO28" s="111"/>
      <c r="BP28" s="111"/>
      <c r="BQ28" s="111"/>
      <c r="BR28" s="111"/>
      <c r="BS28" s="111"/>
      <c r="BT28" s="111"/>
      <c r="BU28" s="111"/>
      <c r="BV28" s="111"/>
      <c r="BW28" s="111"/>
      <c r="BX28" s="111"/>
      <c r="BY28" s="112"/>
    </row>
    <row r="29" spans="1:79">
      <c r="A29" s="104"/>
      <c r="B29" s="105"/>
      <c r="C29" s="105"/>
      <c r="D29" s="105"/>
      <c r="E29" s="105"/>
      <c r="F29" s="105"/>
      <c r="G29" s="106"/>
      <c r="H29" s="113" t="s">
        <v>70</v>
      </c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5"/>
      <c r="BL29" s="110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2"/>
    </row>
    <row r="30" spans="1:79">
      <c r="A30" s="104" t="s">
        <v>82</v>
      </c>
      <c r="B30" s="105"/>
      <c r="C30" s="105"/>
      <c r="D30" s="105"/>
      <c r="E30" s="105"/>
      <c r="F30" s="105"/>
      <c r="G30" s="106"/>
      <c r="H30" s="113" t="s">
        <v>83</v>
      </c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5"/>
      <c r="BL30" s="110">
        <v>2.3570000000000002</v>
      </c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2"/>
    </row>
    <row r="31" spans="1:79">
      <c r="A31" s="104" t="s">
        <v>84</v>
      </c>
      <c r="B31" s="105"/>
      <c r="C31" s="105"/>
      <c r="D31" s="105"/>
      <c r="E31" s="105"/>
      <c r="F31" s="105"/>
      <c r="G31" s="106"/>
      <c r="H31" s="113" t="s">
        <v>85</v>
      </c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5"/>
      <c r="BL31" s="110">
        <v>29.678000000000001</v>
      </c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2"/>
    </row>
    <row r="32" spans="1:79" ht="13.5" thickBot="1">
      <c r="A32" s="61" t="s">
        <v>86</v>
      </c>
      <c r="B32" s="62"/>
      <c r="C32" s="62"/>
      <c r="D32" s="62"/>
      <c r="E32" s="62"/>
      <c r="F32" s="62"/>
      <c r="G32" s="63"/>
      <c r="H32" s="64" t="s">
        <v>87</v>
      </c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6"/>
      <c r="BL32" s="67">
        <f>9.359+1.287</f>
        <v>10.646000000000001</v>
      </c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9"/>
    </row>
    <row r="33" spans="1:77" ht="13.5" thickBot="1">
      <c r="A33" s="134" t="s">
        <v>88</v>
      </c>
      <c r="B33" s="135"/>
      <c r="C33" s="135"/>
      <c r="D33" s="135"/>
      <c r="E33" s="135"/>
      <c r="F33" s="135"/>
      <c r="G33" s="136"/>
      <c r="H33" s="137" t="s">
        <v>89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9"/>
      <c r="BL33" s="140">
        <f>BL15-BL19</f>
        <v>26.203000000000003</v>
      </c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2"/>
    </row>
    <row r="34" spans="1:77">
      <c r="A34" s="116" t="s">
        <v>90</v>
      </c>
      <c r="B34" s="117"/>
      <c r="C34" s="117"/>
      <c r="D34" s="117"/>
      <c r="E34" s="117"/>
      <c r="F34" s="117"/>
      <c r="G34" s="118"/>
      <c r="H34" s="119" t="s">
        <v>91</v>
      </c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1"/>
      <c r="BL34" s="76">
        <f>BL35-BL39</f>
        <v>-0.56200000000000006</v>
      </c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8"/>
    </row>
    <row r="35" spans="1:77">
      <c r="A35" s="104" t="s">
        <v>2</v>
      </c>
      <c r="B35" s="105"/>
      <c r="C35" s="105"/>
      <c r="D35" s="105"/>
      <c r="E35" s="105"/>
      <c r="F35" s="105"/>
      <c r="G35" s="106"/>
      <c r="H35" s="113" t="s">
        <v>92</v>
      </c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5"/>
      <c r="BL35" s="110">
        <f>BL37+BL38</f>
        <v>0</v>
      </c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2"/>
    </row>
    <row r="36" spans="1:77">
      <c r="A36" s="104"/>
      <c r="B36" s="105"/>
      <c r="C36" s="105"/>
      <c r="D36" s="105"/>
      <c r="E36" s="105"/>
      <c r="F36" s="105"/>
      <c r="G36" s="106"/>
      <c r="H36" s="113" t="s">
        <v>93</v>
      </c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5"/>
      <c r="BL36" s="110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2"/>
    </row>
    <row r="37" spans="1:77">
      <c r="A37" s="104" t="s">
        <v>3</v>
      </c>
      <c r="B37" s="105"/>
      <c r="C37" s="105"/>
      <c r="D37" s="105"/>
      <c r="E37" s="105"/>
      <c r="F37" s="105"/>
      <c r="G37" s="106"/>
      <c r="H37" s="107" t="s">
        <v>94</v>
      </c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9"/>
      <c r="BL37" s="110">
        <v>0</v>
      </c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2"/>
    </row>
    <row r="38" spans="1:77">
      <c r="A38" s="104" t="s">
        <v>4</v>
      </c>
      <c r="B38" s="105"/>
      <c r="C38" s="105"/>
      <c r="D38" s="105"/>
      <c r="E38" s="105"/>
      <c r="F38" s="105"/>
      <c r="G38" s="106"/>
      <c r="H38" s="113" t="s">
        <v>95</v>
      </c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5"/>
      <c r="BL38" s="110">
        <v>0</v>
      </c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2"/>
    </row>
    <row r="39" spans="1:77">
      <c r="A39" s="104" t="s">
        <v>17</v>
      </c>
      <c r="B39" s="105"/>
      <c r="C39" s="105"/>
      <c r="D39" s="105"/>
      <c r="E39" s="105"/>
      <c r="F39" s="105"/>
      <c r="G39" s="106"/>
      <c r="H39" s="113" t="s">
        <v>96</v>
      </c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  <c r="BI39" s="114"/>
      <c r="BJ39" s="114"/>
      <c r="BK39" s="115"/>
      <c r="BL39" s="110">
        <v>0.56200000000000006</v>
      </c>
      <c r="BM39" s="111"/>
      <c r="BN39" s="111"/>
      <c r="BO39" s="111"/>
      <c r="BP39" s="111"/>
      <c r="BQ39" s="111"/>
      <c r="BR39" s="111"/>
      <c r="BS39" s="111"/>
      <c r="BT39" s="111"/>
      <c r="BU39" s="111"/>
      <c r="BV39" s="111"/>
      <c r="BW39" s="111"/>
      <c r="BX39" s="111"/>
      <c r="BY39" s="112"/>
    </row>
    <row r="40" spans="1:77">
      <c r="A40" s="104"/>
      <c r="B40" s="105"/>
      <c r="C40" s="105"/>
      <c r="D40" s="105"/>
      <c r="E40" s="105"/>
      <c r="F40" s="105"/>
      <c r="G40" s="106"/>
      <c r="H40" s="113" t="s">
        <v>93</v>
      </c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  <c r="BI40" s="114"/>
      <c r="BJ40" s="114"/>
      <c r="BK40" s="115"/>
      <c r="BL40" s="110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2"/>
    </row>
    <row r="41" spans="1:77" ht="13.5" thickBot="1">
      <c r="A41" s="61" t="s">
        <v>9</v>
      </c>
      <c r="B41" s="62"/>
      <c r="C41" s="62"/>
      <c r="D41" s="62"/>
      <c r="E41" s="62"/>
      <c r="F41" s="62"/>
      <c r="G41" s="63"/>
      <c r="H41" s="64" t="s">
        <v>97</v>
      </c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6"/>
      <c r="BL41" s="67">
        <v>0</v>
      </c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9"/>
    </row>
    <row r="42" spans="1:77" ht="13.5" thickBot="1">
      <c r="A42" s="134" t="s">
        <v>98</v>
      </c>
      <c r="B42" s="135"/>
      <c r="C42" s="135"/>
      <c r="D42" s="135"/>
      <c r="E42" s="135"/>
      <c r="F42" s="135"/>
      <c r="G42" s="136"/>
      <c r="H42" s="137" t="s">
        <v>99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9"/>
      <c r="BL42" s="140">
        <f>BL33+BL34</f>
        <v>25.641000000000002</v>
      </c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2"/>
    </row>
    <row r="43" spans="1:77" ht="13.5" thickBot="1">
      <c r="A43" s="134" t="s">
        <v>100</v>
      </c>
      <c r="B43" s="135"/>
      <c r="C43" s="135"/>
      <c r="D43" s="135"/>
      <c r="E43" s="135"/>
      <c r="F43" s="135"/>
      <c r="G43" s="136"/>
      <c r="H43" s="137" t="s">
        <v>101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9"/>
      <c r="BL43" s="140">
        <f>3.808+5.5*20/100</f>
        <v>4.9079999999999995</v>
      </c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  <c r="BW43" s="141"/>
      <c r="BX43" s="141"/>
      <c r="BY43" s="142"/>
    </row>
    <row r="44" spans="1:77" ht="13.5" thickBot="1">
      <c r="A44" s="134" t="s">
        <v>102</v>
      </c>
      <c r="B44" s="135"/>
      <c r="C44" s="135"/>
      <c r="D44" s="135"/>
      <c r="E44" s="135"/>
      <c r="F44" s="135"/>
      <c r="G44" s="136"/>
      <c r="H44" s="137" t="s">
        <v>103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9"/>
      <c r="BL44" s="140">
        <f>BL42-BL43</f>
        <v>20.733000000000004</v>
      </c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4"/>
    </row>
    <row r="45" spans="1:77">
      <c r="A45" s="116" t="s">
        <v>104</v>
      </c>
      <c r="B45" s="117"/>
      <c r="C45" s="117"/>
      <c r="D45" s="117"/>
      <c r="E45" s="117"/>
      <c r="F45" s="117"/>
      <c r="G45" s="118"/>
      <c r="H45" s="119" t="s">
        <v>105</v>
      </c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1"/>
      <c r="BL45" s="81">
        <f>BL47+BL48+BL49+BL50</f>
        <v>0.436</v>
      </c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3"/>
    </row>
    <row r="46" spans="1:77">
      <c r="A46" s="104"/>
      <c r="B46" s="105"/>
      <c r="C46" s="105"/>
      <c r="D46" s="105"/>
      <c r="E46" s="105"/>
      <c r="F46" s="105"/>
      <c r="G46" s="106"/>
      <c r="H46" s="113" t="s">
        <v>70</v>
      </c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5"/>
      <c r="BL46" s="110"/>
      <c r="BM46" s="111"/>
      <c r="BN46" s="111"/>
      <c r="BO46" s="111"/>
      <c r="BP46" s="111"/>
      <c r="BQ46" s="111"/>
      <c r="BR46" s="111"/>
      <c r="BS46" s="111"/>
      <c r="BT46" s="111"/>
      <c r="BU46" s="111"/>
      <c r="BV46" s="111"/>
      <c r="BW46" s="111"/>
      <c r="BX46" s="111"/>
      <c r="BY46" s="112"/>
    </row>
    <row r="47" spans="1:77">
      <c r="A47" s="104" t="s">
        <v>2</v>
      </c>
      <c r="B47" s="105"/>
      <c r="C47" s="105"/>
      <c r="D47" s="105"/>
      <c r="E47" s="105"/>
      <c r="F47" s="105"/>
      <c r="G47" s="106"/>
      <c r="H47" s="113" t="s">
        <v>106</v>
      </c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5"/>
      <c r="BL47" s="145"/>
      <c r="BM47" s="146"/>
      <c r="BN47" s="146"/>
      <c r="BO47" s="146"/>
      <c r="BP47" s="146"/>
      <c r="BQ47" s="146"/>
      <c r="BR47" s="146"/>
      <c r="BS47" s="146"/>
      <c r="BT47" s="146"/>
      <c r="BU47" s="146"/>
      <c r="BV47" s="146"/>
      <c r="BW47" s="146"/>
      <c r="BX47" s="146"/>
      <c r="BY47" s="147"/>
    </row>
    <row r="48" spans="1:77">
      <c r="A48" s="104" t="s">
        <v>17</v>
      </c>
      <c r="B48" s="105"/>
      <c r="C48" s="105"/>
      <c r="D48" s="105"/>
      <c r="E48" s="105"/>
      <c r="F48" s="105"/>
      <c r="G48" s="106"/>
      <c r="H48" s="113" t="s">
        <v>107</v>
      </c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4"/>
      <c r="BB48" s="114"/>
      <c r="BC48" s="114"/>
      <c r="BD48" s="114"/>
      <c r="BE48" s="114"/>
      <c r="BF48" s="114"/>
      <c r="BG48" s="114"/>
      <c r="BH48" s="114"/>
      <c r="BI48" s="114"/>
      <c r="BJ48" s="114"/>
      <c r="BK48" s="115"/>
      <c r="BL48" s="110"/>
      <c r="BM48" s="111"/>
      <c r="BN48" s="111"/>
      <c r="BO48" s="111"/>
      <c r="BP48" s="111"/>
      <c r="BQ48" s="111"/>
      <c r="BR48" s="111"/>
      <c r="BS48" s="111"/>
      <c r="BT48" s="111"/>
      <c r="BU48" s="111"/>
      <c r="BV48" s="111"/>
      <c r="BW48" s="111"/>
      <c r="BX48" s="111"/>
      <c r="BY48" s="112"/>
    </row>
    <row r="49" spans="1:77">
      <c r="A49" s="104" t="s">
        <v>18</v>
      </c>
      <c r="B49" s="105"/>
      <c r="C49" s="105"/>
      <c r="D49" s="105"/>
      <c r="E49" s="105"/>
      <c r="F49" s="105"/>
      <c r="G49" s="106"/>
      <c r="H49" s="113" t="s">
        <v>108</v>
      </c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/>
      <c r="BK49" s="115"/>
      <c r="BL49" s="110"/>
      <c r="BM49" s="111"/>
      <c r="BN49" s="111"/>
      <c r="BO49" s="111"/>
      <c r="BP49" s="111"/>
      <c r="BQ49" s="111"/>
      <c r="BR49" s="111"/>
      <c r="BS49" s="111"/>
      <c r="BT49" s="111"/>
      <c r="BU49" s="111"/>
      <c r="BV49" s="111"/>
      <c r="BW49" s="111"/>
      <c r="BX49" s="111"/>
      <c r="BY49" s="112"/>
    </row>
    <row r="50" spans="1:77" ht="13.5" thickBot="1">
      <c r="A50" s="61" t="s">
        <v>19</v>
      </c>
      <c r="B50" s="62"/>
      <c r="C50" s="62"/>
      <c r="D50" s="62"/>
      <c r="E50" s="62"/>
      <c r="F50" s="62"/>
      <c r="G50" s="63"/>
      <c r="H50" s="64" t="s">
        <v>109</v>
      </c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6"/>
      <c r="BL50" s="67">
        <v>0.436</v>
      </c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9"/>
    </row>
    <row r="51" spans="1:77">
      <c r="A51" s="116" t="s">
        <v>110</v>
      </c>
      <c r="B51" s="117"/>
      <c r="C51" s="117"/>
      <c r="D51" s="117"/>
      <c r="E51" s="117"/>
      <c r="F51" s="117"/>
      <c r="G51" s="118"/>
      <c r="H51" s="119" t="s">
        <v>111</v>
      </c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1"/>
      <c r="BL51" s="76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8"/>
    </row>
    <row r="52" spans="1:77">
      <c r="A52" s="104" t="s">
        <v>2</v>
      </c>
      <c r="B52" s="105"/>
      <c r="C52" s="105"/>
      <c r="D52" s="105"/>
      <c r="E52" s="105"/>
      <c r="F52" s="105"/>
      <c r="G52" s="106"/>
      <c r="H52" s="113" t="s">
        <v>112</v>
      </c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5"/>
      <c r="BL52" s="110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2"/>
    </row>
    <row r="53" spans="1:77">
      <c r="A53" s="104" t="s">
        <v>17</v>
      </c>
      <c r="B53" s="105"/>
      <c r="C53" s="105"/>
      <c r="D53" s="105"/>
      <c r="E53" s="105"/>
      <c r="F53" s="105"/>
      <c r="G53" s="106"/>
      <c r="H53" s="113" t="s">
        <v>113</v>
      </c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5"/>
      <c r="BL53" s="110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2"/>
    </row>
    <row r="54" spans="1:77" ht="13.5" thickBot="1">
      <c r="A54" s="61"/>
      <c r="B54" s="62"/>
      <c r="C54" s="62"/>
      <c r="D54" s="62"/>
      <c r="E54" s="62"/>
      <c r="F54" s="62"/>
      <c r="G54" s="63"/>
      <c r="H54" s="64" t="s">
        <v>114</v>
      </c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6"/>
      <c r="BL54" s="67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9"/>
    </row>
    <row r="55" spans="1:77">
      <c r="A55" s="116" t="s">
        <v>115</v>
      </c>
      <c r="B55" s="117"/>
      <c r="C55" s="117"/>
      <c r="D55" s="117"/>
      <c r="E55" s="117"/>
      <c r="F55" s="117"/>
      <c r="G55" s="118"/>
      <c r="H55" s="119" t="s">
        <v>116</v>
      </c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1"/>
      <c r="BL55" s="76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8"/>
    </row>
    <row r="56" spans="1:77">
      <c r="A56" s="104" t="s">
        <v>2</v>
      </c>
      <c r="B56" s="105"/>
      <c r="C56" s="105"/>
      <c r="D56" s="105"/>
      <c r="E56" s="105"/>
      <c r="F56" s="105"/>
      <c r="G56" s="106"/>
      <c r="H56" s="113" t="s">
        <v>117</v>
      </c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5"/>
      <c r="BL56" s="110"/>
      <c r="BM56" s="111"/>
      <c r="BN56" s="111"/>
      <c r="BO56" s="111"/>
      <c r="BP56" s="111"/>
      <c r="BQ56" s="111"/>
      <c r="BR56" s="111"/>
      <c r="BS56" s="111"/>
      <c r="BT56" s="111"/>
      <c r="BU56" s="111"/>
      <c r="BV56" s="111"/>
      <c r="BW56" s="111"/>
      <c r="BX56" s="111"/>
      <c r="BY56" s="112"/>
    </row>
    <row r="57" spans="1:77">
      <c r="A57" s="104" t="s">
        <v>17</v>
      </c>
      <c r="B57" s="105"/>
      <c r="C57" s="105"/>
      <c r="D57" s="105"/>
      <c r="E57" s="105"/>
      <c r="F57" s="105"/>
      <c r="G57" s="106"/>
      <c r="H57" s="113" t="s">
        <v>118</v>
      </c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5"/>
      <c r="BL57" s="110"/>
      <c r="BM57" s="111"/>
      <c r="BN57" s="111"/>
      <c r="BO57" s="111"/>
      <c r="BP57" s="111"/>
      <c r="BQ57" s="111"/>
      <c r="BR57" s="111"/>
      <c r="BS57" s="111"/>
      <c r="BT57" s="111"/>
      <c r="BU57" s="111"/>
      <c r="BV57" s="111"/>
      <c r="BW57" s="111"/>
      <c r="BX57" s="111"/>
      <c r="BY57" s="112"/>
    </row>
    <row r="58" spans="1:77" ht="13.5" thickBot="1">
      <c r="A58" s="61"/>
      <c r="B58" s="62"/>
      <c r="C58" s="62"/>
      <c r="D58" s="62"/>
      <c r="E58" s="62"/>
      <c r="F58" s="62"/>
      <c r="G58" s="63"/>
      <c r="H58" s="64" t="s">
        <v>114</v>
      </c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6"/>
      <c r="BL58" s="67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9"/>
    </row>
    <row r="59" spans="1:77">
      <c r="A59" s="116" t="s">
        <v>119</v>
      </c>
      <c r="B59" s="117"/>
      <c r="C59" s="117"/>
      <c r="D59" s="117"/>
      <c r="E59" s="117"/>
      <c r="F59" s="117"/>
      <c r="G59" s="118"/>
      <c r="H59" s="119" t="s">
        <v>120</v>
      </c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1"/>
      <c r="BL59" s="76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8"/>
    </row>
    <row r="60" spans="1:77">
      <c r="A60" s="104"/>
      <c r="B60" s="105"/>
      <c r="C60" s="105"/>
      <c r="D60" s="105"/>
      <c r="E60" s="105"/>
      <c r="F60" s="105"/>
      <c r="G60" s="106"/>
      <c r="H60" s="113" t="s">
        <v>121</v>
      </c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5"/>
      <c r="BL60" s="110"/>
      <c r="BM60" s="111"/>
      <c r="BN60" s="111"/>
      <c r="BO60" s="111"/>
      <c r="BP60" s="111"/>
      <c r="BQ60" s="111"/>
      <c r="BR60" s="111"/>
      <c r="BS60" s="111"/>
      <c r="BT60" s="111"/>
      <c r="BU60" s="111"/>
      <c r="BV60" s="111"/>
      <c r="BW60" s="111"/>
      <c r="BX60" s="111"/>
      <c r="BY60" s="112"/>
    </row>
    <row r="61" spans="1:77">
      <c r="A61" s="104" t="s">
        <v>2</v>
      </c>
      <c r="B61" s="105"/>
      <c r="C61" s="105"/>
      <c r="D61" s="105"/>
      <c r="E61" s="105"/>
      <c r="F61" s="105"/>
      <c r="G61" s="106"/>
      <c r="H61" s="113" t="s">
        <v>122</v>
      </c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5"/>
      <c r="BL61" s="110"/>
      <c r="BM61" s="111"/>
      <c r="BN61" s="111"/>
      <c r="BO61" s="111"/>
      <c r="BP61" s="111"/>
      <c r="BQ61" s="111"/>
      <c r="BR61" s="111"/>
      <c r="BS61" s="111"/>
      <c r="BT61" s="111"/>
      <c r="BU61" s="111"/>
      <c r="BV61" s="111"/>
      <c r="BW61" s="111"/>
      <c r="BX61" s="111"/>
      <c r="BY61" s="112"/>
    </row>
    <row r="62" spans="1:77">
      <c r="A62" s="104" t="s">
        <v>3</v>
      </c>
      <c r="B62" s="105"/>
      <c r="C62" s="105"/>
      <c r="D62" s="105"/>
      <c r="E62" s="105"/>
      <c r="F62" s="105"/>
      <c r="G62" s="106"/>
      <c r="H62" s="113" t="s">
        <v>216</v>
      </c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5"/>
      <c r="BL62" s="110"/>
      <c r="BM62" s="111"/>
      <c r="BN62" s="111"/>
      <c r="BO62" s="111"/>
      <c r="BP62" s="111"/>
      <c r="BQ62" s="111"/>
      <c r="BR62" s="111"/>
      <c r="BS62" s="111"/>
      <c r="BT62" s="111"/>
      <c r="BU62" s="111"/>
      <c r="BV62" s="111"/>
      <c r="BW62" s="111"/>
      <c r="BX62" s="111"/>
      <c r="BY62" s="112"/>
    </row>
    <row r="63" spans="1:77" ht="13.5" thickBot="1">
      <c r="A63" s="61" t="s">
        <v>17</v>
      </c>
      <c r="B63" s="62"/>
      <c r="C63" s="62"/>
      <c r="D63" s="62"/>
      <c r="E63" s="62"/>
      <c r="F63" s="62"/>
      <c r="G63" s="63"/>
      <c r="H63" s="64" t="s">
        <v>124</v>
      </c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6"/>
      <c r="BL63" s="67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9"/>
    </row>
    <row r="64" spans="1:77">
      <c r="A64" s="116" t="s">
        <v>125</v>
      </c>
      <c r="B64" s="117"/>
      <c r="C64" s="117"/>
      <c r="D64" s="117"/>
      <c r="E64" s="117"/>
      <c r="F64" s="117"/>
      <c r="G64" s="118"/>
      <c r="H64" s="119" t="s">
        <v>126</v>
      </c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1"/>
      <c r="BL64" s="76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8"/>
    </row>
    <row r="65" spans="1:79">
      <c r="A65" s="104"/>
      <c r="B65" s="105"/>
      <c r="C65" s="105"/>
      <c r="D65" s="105"/>
      <c r="E65" s="105"/>
      <c r="F65" s="105"/>
      <c r="G65" s="106"/>
      <c r="H65" s="113" t="s">
        <v>127</v>
      </c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5"/>
      <c r="BL65" s="110"/>
      <c r="BM65" s="111"/>
      <c r="BN65" s="111"/>
      <c r="BO65" s="111"/>
      <c r="BP65" s="111"/>
      <c r="BQ65" s="111"/>
      <c r="BR65" s="111"/>
      <c r="BS65" s="111"/>
      <c r="BT65" s="111"/>
      <c r="BU65" s="111"/>
      <c r="BV65" s="111"/>
      <c r="BW65" s="111"/>
      <c r="BX65" s="111"/>
      <c r="BY65" s="112"/>
    </row>
    <row r="66" spans="1:79">
      <c r="A66" s="104" t="s">
        <v>2</v>
      </c>
      <c r="B66" s="105"/>
      <c r="C66" s="105"/>
      <c r="D66" s="105"/>
      <c r="E66" s="105"/>
      <c r="F66" s="105"/>
      <c r="G66" s="106"/>
      <c r="H66" s="113" t="s">
        <v>128</v>
      </c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5"/>
      <c r="BL66" s="110"/>
      <c r="BM66" s="111"/>
      <c r="BN66" s="111"/>
      <c r="BO66" s="111"/>
      <c r="BP66" s="111"/>
      <c r="BQ66" s="111"/>
      <c r="BR66" s="111"/>
      <c r="BS66" s="111"/>
      <c r="BT66" s="111"/>
      <c r="BU66" s="111"/>
      <c r="BV66" s="111"/>
      <c r="BW66" s="111"/>
      <c r="BX66" s="111"/>
      <c r="BY66" s="112"/>
    </row>
    <row r="67" spans="1:79">
      <c r="A67" s="104" t="s">
        <v>3</v>
      </c>
      <c r="B67" s="105"/>
      <c r="C67" s="105"/>
      <c r="D67" s="105"/>
      <c r="E67" s="105"/>
      <c r="F67" s="105"/>
      <c r="G67" s="106"/>
      <c r="H67" s="113" t="s">
        <v>123</v>
      </c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5"/>
      <c r="BL67" s="110"/>
      <c r="BM67" s="111"/>
      <c r="BN67" s="111"/>
      <c r="BO67" s="111"/>
      <c r="BP67" s="111"/>
      <c r="BQ67" s="111"/>
      <c r="BR67" s="111"/>
      <c r="BS67" s="111"/>
      <c r="BT67" s="111"/>
      <c r="BU67" s="111"/>
      <c r="BV67" s="111"/>
      <c r="BW67" s="111"/>
      <c r="BX67" s="111"/>
      <c r="BY67" s="112"/>
    </row>
    <row r="68" spans="1:79" ht="13.5" thickBot="1">
      <c r="A68" s="61" t="s">
        <v>17</v>
      </c>
      <c r="B68" s="62"/>
      <c r="C68" s="62"/>
      <c r="D68" s="62"/>
      <c r="E68" s="62"/>
      <c r="F68" s="62"/>
      <c r="G68" s="63"/>
      <c r="H68" s="64" t="s">
        <v>124</v>
      </c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6"/>
      <c r="BL68" s="67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9"/>
    </row>
    <row r="69" spans="1:79" ht="13.5" thickBot="1">
      <c r="A69" s="134" t="s">
        <v>129</v>
      </c>
      <c r="B69" s="135"/>
      <c r="C69" s="135"/>
      <c r="D69" s="135"/>
      <c r="E69" s="135"/>
      <c r="F69" s="135"/>
      <c r="G69" s="136"/>
      <c r="H69" s="137" t="s">
        <v>130</v>
      </c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9"/>
      <c r="BL69" s="140"/>
      <c r="BM69" s="141"/>
      <c r="BN69" s="141"/>
      <c r="BO69" s="141"/>
      <c r="BP69" s="141"/>
      <c r="BQ69" s="141"/>
      <c r="BR69" s="141"/>
      <c r="BS69" s="141"/>
      <c r="BT69" s="141"/>
      <c r="BU69" s="141"/>
      <c r="BV69" s="141"/>
      <c r="BW69" s="141"/>
      <c r="BX69" s="141"/>
      <c r="BY69" s="142"/>
    </row>
    <row r="70" spans="1:79">
      <c r="A70" s="116" t="s">
        <v>131</v>
      </c>
      <c r="B70" s="117"/>
      <c r="C70" s="117"/>
      <c r="D70" s="117"/>
      <c r="E70" s="117"/>
      <c r="F70" s="117"/>
      <c r="G70" s="118"/>
      <c r="H70" s="119" t="s">
        <v>132</v>
      </c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  <c r="BH70" s="120"/>
      <c r="BI70" s="120"/>
      <c r="BJ70" s="120"/>
      <c r="BK70" s="121"/>
      <c r="BL70" s="76"/>
      <c r="BM70" s="77"/>
      <c r="BN70" s="77"/>
      <c r="BO70" s="77"/>
      <c r="BP70" s="77"/>
      <c r="BQ70" s="77"/>
      <c r="BR70" s="77"/>
      <c r="BS70" s="77"/>
      <c r="BT70" s="77"/>
      <c r="BU70" s="77"/>
      <c r="BV70" s="77"/>
      <c r="BW70" s="77"/>
      <c r="BX70" s="77"/>
      <c r="BY70" s="78"/>
    </row>
    <row r="71" spans="1:79">
      <c r="A71" s="104" t="s">
        <v>2</v>
      </c>
      <c r="B71" s="105"/>
      <c r="C71" s="105"/>
      <c r="D71" s="105"/>
      <c r="E71" s="105"/>
      <c r="F71" s="105"/>
      <c r="G71" s="106"/>
      <c r="H71" s="113" t="s">
        <v>133</v>
      </c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5"/>
      <c r="BL71" s="110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2"/>
    </row>
    <row r="72" spans="1:79" ht="13.5" thickBot="1">
      <c r="A72" s="61" t="s">
        <v>17</v>
      </c>
      <c r="B72" s="62"/>
      <c r="C72" s="62"/>
      <c r="D72" s="62"/>
      <c r="E72" s="62"/>
      <c r="F72" s="62"/>
      <c r="G72" s="63"/>
      <c r="H72" s="64" t="s">
        <v>134</v>
      </c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6"/>
      <c r="BL72" s="67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9"/>
    </row>
    <row r="73" spans="1:79" ht="13.5" thickBot="1">
      <c r="A73" s="134" t="s">
        <v>135</v>
      </c>
      <c r="B73" s="135"/>
      <c r="C73" s="135"/>
      <c r="D73" s="135"/>
      <c r="E73" s="135"/>
      <c r="F73" s="135"/>
      <c r="G73" s="136"/>
      <c r="H73" s="137" t="s">
        <v>136</v>
      </c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  <c r="BI73" s="138"/>
      <c r="BJ73" s="138"/>
      <c r="BK73" s="139"/>
      <c r="BL73" s="148"/>
      <c r="BM73" s="143"/>
      <c r="BN73" s="143"/>
      <c r="BO73" s="143"/>
      <c r="BP73" s="143"/>
      <c r="BQ73" s="143"/>
      <c r="BR73" s="143"/>
      <c r="BS73" s="143"/>
      <c r="BT73" s="143"/>
      <c r="BU73" s="143"/>
      <c r="BV73" s="143"/>
      <c r="BW73" s="143"/>
      <c r="BX73" s="143"/>
      <c r="BY73" s="144"/>
    </row>
    <row r="74" spans="1:79" ht="33.75" customHeight="1">
      <c r="A74" s="116" t="s">
        <v>137</v>
      </c>
      <c r="B74" s="117"/>
      <c r="C74" s="117"/>
      <c r="D74" s="117"/>
      <c r="E74" s="117"/>
      <c r="F74" s="117"/>
      <c r="G74" s="118"/>
      <c r="H74" s="73" t="s">
        <v>234</v>
      </c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5"/>
      <c r="BL74" s="76">
        <f>14.797+1.816</f>
        <v>16.613</v>
      </c>
      <c r="BM74" s="77"/>
      <c r="BN74" s="77"/>
      <c r="BO74" s="77"/>
      <c r="BP74" s="77"/>
      <c r="BQ74" s="77"/>
      <c r="BR74" s="77"/>
      <c r="BS74" s="77"/>
      <c r="BT74" s="77"/>
      <c r="BU74" s="77"/>
      <c r="BV74" s="77"/>
      <c r="BW74" s="77"/>
      <c r="BX74" s="77"/>
      <c r="BY74" s="78"/>
      <c r="CA74" s="19"/>
    </row>
    <row r="75" spans="1:79" ht="21" customHeight="1" thickBot="1">
      <c r="A75" s="61"/>
      <c r="B75" s="62"/>
      <c r="C75" s="62"/>
      <c r="D75" s="62"/>
      <c r="E75" s="62"/>
      <c r="F75" s="62"/>
      <c r="G75" s="63"/>
      <c r="H75" s="64" t="s">
        <v>123</v>
      </c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6"/>
      <c r="BL75" s="67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9"/>
      <c r="CA75" s="19"/>
    </row>
    <row r="76" spans="1:79" ht="18" customHeight="1" thickBot="1">
      <c r="A76" s="70"/>
      <c r="B76" s="71"/>
      <c r="C76" s="71"/>
      <c r="D76" s="71"/>
      <c r="E76" s="71"/>
      <c r="F76" s="71"/>
      <c r="G76" s="72"/>
      <c r="H76" s="73" t="s">
        <v>235</v>
      </c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5"/>
      <c r="BL76" s="76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8"/>
      <c r="CA76" s="19"/>
    </row>
    <row r="77" spans="1:79" ht="25.5" customHeight="1" thickBot="1">
      <c r="A77" s="70"/>
      <c r="B77" s="71"/>
      <c r="C77" s="71"/>
      <c r="D77" s="71"/>
      <c r="E77" s="71"/>
      <c r="F77" s="71"/>
      <c r="G77" s="72"/>
      <c r="H77" s="73" t="s">
        <v>236</v>
      </c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5"/>
      <c r="BL77" s="76">
        <v>31.853999999999999</v>
      </c>
      <c r="BM77" s="77"/>
      <c r="BN77" s="77"/>
      <c r="BO77" s="77"/>
      <c r="BP77" s="77"/>
      <c r="BQ77" s="77"/>
      <c r="BR77" s="77"/>
      <c r="BS77" s="77"/>
      <c r="BT77" s="77"/>
      <c r="BU77" s="77"/>
      <c r="BV77" s="77"/>
      <c r="BW77" s="77"/>
      <c r="BX77" s="77"/>
      <c r="BY77" s="78"/>
      <c r="CA77" s="19"/>
    </row>
    <row r="78" spans="1:79" ht="25.5" customHeight="1" thickBot="1">
      <c r="A78" s="70"/>
      <c r="B78" s="71"/>
      <c r="C78" s="71"/>
      <c r="D78" s="71"/>
      <c r="E78" s="71"/>
      <c r="F78" s="71"/>
      <c r="G78" s="72"/>
      <c r="H78" s="73" t="s">
        <v>229</v>
      </c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  <c r="BH78" s="74"/>
      <c r="BI78" s="74"/>
      <c r="BJ78" s="74"/>
      <c r="BK78" s="75"/>
      <c r="BL78" s="76"/>
      <c r="BM78" s="77"/>
      <c r="BN78" s="77"/>
      <c r="BO78" s="77"/>
      <c r="BP78" s="77"/>
      <c r="BQ78" s="77"/>
      <c r="BR78" s="77"/>
      <c r="BS78" s="77"/>
      <c r="BT78" s="77"/>
      <c r="BU78" s="77"/>
      <c r="BV78" s="77"/>
      <c r="BW78" s="77"/>
      <c r="BX78" s="77"/>
      <c r="BY78" s="78"/>
      <c r="CA78" s="19"/>
    </row>
    <row r="79" spans="1:79" ht="27.75" customHeight="1" thickBot="1">
      <c r="A79" s="70"/>
      <c r="B79" s="71"/>
      <c r="C79" s="71"/>
      <c r="D79" s="71"/>
      <c r="E79" s="71"/>
      <c r="F79" s="71"/>
      <c r="G79" s="72"/>
      <c r="H79" s="73" t="s">
        <v>230</v>
      </c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5"/>
      <c r="BL79" s="76">
        <f>14.797+1.816</f>
        <v>16.613</v>
      </c>
      <c r="BM79" s="77"/>
      <c r="BN79" s="77"/>
      <c r="BO79" s="77"/>
      <c r="BP79" s="77"/>
      <c r="BQ79" s="77"/>
      <c r="BR79" s="77"/>
      <c r="BS79" s="77"/>
      <c r="BT79" s="77"/>
      <c r="BU79" s="77"/>
      <c r="BV79" s="77"/>
      <c r="BW79" s="77"/>
      <c r="BX79" s="77"/>
      <c r="BY79" s="78"/>
      <c r="CA79" s="19"/>
    </row>
    <row r="80" spans="1:79" ht="27.75" customHeight="1" thickBot="1">
      <c r="A80" s="70"/>
      <c r="B80" s="71"/>
      <c r="C80" s="71"/>
      <c r="D80" s="71"/>
      <c r="E80" s="71"/>
      <c r="F80" s="71"/>
      <c r="G80" s="72"/>
      <c r="H80" s="73" t="s">
        <v>233</v>
      </c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5"/>
      <c r="BL80" s="81">
        <f>5.5</f>
        <v>5.5</v>
      </c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3"/>
      <c r="CA80" s="19"/>
    </row>
    <row r="81" spans="1:79" ht="27.75" customHeight="1" thickBot="1">
      <c r="A81" s="70"/>
      <c r="B81" s="71"/>
      <c r="C81" s="71"/>
      <c r="D81" s="71"/>
      <c r="E81" s="71"/>
      <c r="F81" s="71"/>
      <c r="G81" s="72"/>
      <c r="H81" s="73" t="s">
        <v>241</v>
      </c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5"/>
      <c r="BL81" s="81">
        <v>9.7409999999999997</v>
      </c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3"/>
      <c r="CA81" s="19"/>
    </row>
    <row r="82" spans="1:79" ht="42.75" customHeight="1" thickBot="1">
      <c r="A82" s="134" t="s">
        <v>137</v>
      </c>
      <c r="B82" s="135"/>
      <c r="C82" s="135"/>
      <c r="D82" s="135"/>
      <c r="E82" s="135"/>
      <c r="F82" s="135"/>
      <c r="G82" s="136"/>
      <c r="H82" s="154" t="s">
        <v>138</v>
      </c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  <c r="BI82" s="155"/>
      <c r="BJ82" s="155"/>
      <c r="BK82" s="156"/>
      <c r="BL82" s="140">
        <f>BL15+BL35+BL53+BL56+BL59+BL69+BL73</f>
        <v>198.934</v>
      </c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2"/>
    </row>
    <row r="83" spans="1:79" ht="42" customHeight="1">
      <c r="A83" s="116" t="s">
        <v>139</v>
      </c>
      <c r="B83" s="117"/>
      <c r="C83" s="117"/>
      <c r="D83" s="117"/>
      <c r="E83" s="117"/>
      <c r="F83" s="117"/>
      <c r="G83" s="118"/>
      <c r="H83" s="73" t="s">
        <v>140</v>
      </c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5"/>
      <c r="BL83" s="81">
        <f>BL19-BL26+BL39+BL52+BL57+BL43+BL45+BL64+BL71+BL74</f>
        <v>193.434</v>
      </c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8"/>
    </row>
    <row r="84" spans="1:79" ht="30" customHeight="1" thickBot="1">
      <c r="A84" s="158"/>
      <c r="B84" s="159"/>
      <c r="C84" s="159"/>
      <c r="D84" s="159"/>
      <c r="E84" s="159"/>
      <c r="F84" s="159"/>
      <c r="G84" s="160"/>
      <c r="H84" s="161" t="s">
        <v>238</v>
      </c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  <c r="BI84" s="162"/>
      <c r="BJ84" s="162"/>
      <c r="BK84" s="163"/>
      <c r="BL84" s="150">
        <f>BL82-BL83</f>
        <v>5.5</v>
      </c>
      <c r="BM84" s="151"/>
      <c r="BN84" s="151"/>
      <c r="BO84" s="151"/>
      <c r="BP84" s="151"/>
      <c r="BQ84" s="151"/>
      <c r="BR84" s="151"/>
      <c r="BS84" s="151"/>
      <c r="BT84" s="151"/>
      <c r="BU84" s="151"/>
      <c r="BV84" s="151"/>
      <c r="BW84" s="151"/>
      <c r="BX84" s="151"/>
      <c r="BY84" s="152"/>
    </row>
    <row r="85" spans="1:79" ht="13.5" thickBot="1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</row>
    <row r="86" spans="1:79">
      <c r="A86" s="116"/>
      <c r="B86" s="117"/>
      <c r="C86" s="117"/>
      <c r="D86" s="117"/>
      <c r="E86" s="117"/>
      <c r="F86" s="117"/>
      <c r="G86" s="118"/>
      <c r="H86" s="119" t="s">
        <v>16</v>
      </c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  <c r="BD86" s="120"/>
      <c r="BE86" s="120"/>
      <c r="BF86" s="120"/>
      <c r="BG86" s="120"/>
      <c r="BH86" s="120"/>
      <c r="BI86" s="120"/>
      <c r="BJ86" s="120"/>
      <c r="BK86" s="121"/>
      <c r="BL86" s="76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8"/>
    </row>
    <row r="87" spans="1:79">
      <c r="A87" s="104" t="s">
        <v>2</v>
      </c>
      <c r="B87" s="105"/>
      <c r="C87" s="105"/>
      <c r="D87" s="105"/>
      <c r="E87" s="105"/>
      <c r="F87" s="105"/>
      <c r="G87" s="106"/>
      <c r="H87" s="113" t="s">
        <v>141</v>
      </c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5"/>
      <c r="BL87" s="157">
        <f>BL42+BL26</f>
        <v>27.457000000000001</v>
      </c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30"/>
    </row>
    <row r="88" spans="1:79">
      <c r="A88" s="104" t="s">
        <v>17</v>
      </c>
      <c r="B88" s="105"/>
      <c r="C88" s="105"/>
      <c r="D88" s="105"/>
      <c r="E88" s="105"/>
      <c r="F88" s="105"/>
      <c r="G88" s="106"/>
      <c r="H88" s="113" t="s">
        <v>142</v>
      </c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5"/>
      <c r="BL88" s="128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30"/>
    </row>
    <row r="89" spans="1:79" ht="13.5" thickBot="1">
      <c r="A89" s="61" t="s">
        <v>18</v>
      </c>
      <c r="B89" s="62"/>
      <c r="C89" s="62"/>
      <c r="D89" s="62"/>
      <c r="E89" s="62"/>
      <c r="F89" s="62"/>
      <c r="G89" s="63"/>
      <c r="H89" s="64" t="s">
        <v>143</v>
      </c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  <c r="BH89" s="65"/>
      <c r="BI89" s="65"/>
      <c r="BJ89" s="65"/>
      <c r="BK89" s="66"/>
      <c r="BL89" s="150">
        <f>BL17/127.74</f>
        <v>1.5056677626428685</v>
      </c>
      <c r="BM89" s="151"/>
      <c r="BN89" s="151"/>
      <c r="BO89" s="151"/>
      <c r="BP89" s="151"/>
      <c r="BQ89" s="151"/>
      <c r="BR89" s="151"/>
      <c r="BS89" s="151"/>
      <c r="BT89" s="151"/>
      <c r="BU89" s="151"/>
      <c r="BV89" s="151"/>
      <c r="BW89" s="151"/>
      <c r="BX89" s="151"/>
      <c r="BY89" s="152"/>
    </row>
    <row r="90" spans="1:79" ht="18" customHeight="1">
      <c r="A90" s="6"/>
      <c r="B90" s="6"/>
      <c r="C90" s="6"/>
      <c r="D90" s="6"/>
      <c r="E90" s="6"/>
      <c r="F90" s="79" t="s">
        <v>57</v>
      </c>
      <c r="G90" s="79"/>
      <c r="H90" s="2" t="s">
        <v>144</v>
      </c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51"/>
    </row>
    <row r="91" spans="1:79" s="6" customFormat="1" ht="15" customHeight="1" thickBot="1">
      <c r="A91" s="2"/>
      <c r="B91" s="2"/>
      <c r="C91" s="2"/>
      <c r="D91" s="2"/>
      <c r="E91" s="2"/>
      <c r="F91" s="79" t="s">
        <v>59</v>
      </c>
      <c r="G91" s="79"/>
      <c r="H91" s="2" t="s">
        <v>239</v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</row>
    <row r="92" spans="1:79">
      <c r="E92" s="79" t="s">
        <v>231</v>
      </c>
      <c r="F92" s="79"/>
      <c r="G92" s="79"/>
      <c r="H92" s="80" t="s">
        <v>237</v>
      </c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18"/>
    </row>
    <row r="93" spans="1:79" ht="44.25" customHeight="1">
      <c r="A93" s="153" t="s">
        <v>149</v>
      </c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  <c r="BJ93" s="153"/>
      <c r="BK93" s="153"/>
      <c r="BL93" s="153"/>
      <c r="BM93" s="153"/>
      <c r="BN93" s="153"/>
      <c r="BO93" s="153"/>
      <c r="BP93" s="153"/>
      <c r="BQ93" s="153"/>
      <c r="BR93" s="153"/>
      <c r="BS93" s="153"/>
      <c r="BT93" s="153"/>
      <c r="BU93" s="153"/>
      <c r="BV93" s="153"/>
      <c r="BW93" s="153"/>
      <c r="BX93" s="153"/>
      <c r="BY93" s="153"/>
    </row>
    <row r="94" spans="1:79" ht="18.75" customHeight="1"/>
    <row r="95" spans="1:79">
      <c r="A95" s="149" t="s">
        <v>63</v>
      </c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</row>
    <row r="96" spans="1:79">
      <c r="A96" s="149" t="s">
        <v>150</v>
      </c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</row>
    <row r="97" spans="1:44">
      <c r="A97" s="149" t="s">
        <v>147</v>
      </c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</row>
  </sheetData>
  <mergeCells count="248">
    <mergeCell ref="A83:G83"/>
    <mergeCell ref="H83:BK83"/>
    <mergeCell ref="BL83:BY83"/>
    <mergeCell ref="A82:G82"/>
    <mergeCell ref="H82:BK82"/>
    <mergeCell ref="BL82:BY82"/>
    <mergeCell ref="A87:G87"/>
    <mergeCell ref="H87:BK87"/>
    <mergeCell ref="BL87:BY87"/>
    <mergeCell ref="A86:G86"/>
    <mergeCell ref="H86:BK86"/>
    <mergeCell ref="BL86:BY86"/>
    <mergeCell ref="A84:G84"/>
    <mergeCell ref="H84:BK84"/>
    <mergeCell ref="BL84:BY84"/>
    <mergeCell ref="A95:AR95"/>
    <mergeCell ref="A96:AR96"/>
    <mergeCell ref="A97:AR97"/>
    <mergeCell ref="A89:G89"/>
    <mergeCell ref="H89:BK89"/>
    <mergeCell ref="BL89:BY89"/>
    <mergeCell ref="A88:G88"/>
    <mergeCell ref="H88:BK88"/>
    <mergeCell ref="BL88:BY88"/>
    <mergeCell ref="F90:G90"/>
    <mergeCell ref="A93:BY93"/>
    <mergeCell ref="A74:G74"/>
    <mergeCell ref="H74:BK74"/>
    <mergeCell ref="BL74:BY74"/>
    <mergeCell ref="A73:G73"/>
    <mergeCell ref="H73:BK73"/>
    <mergeCell ref="BL73:BY73"/>
    <mergeCell ref="A72:G72"/>
    <mergeCell ref="H72:BK72"/>
    <mergeCell ref="BL72:BY72"/>
    <mergeCell ref="A71:G71"/>
    <mergeCell ref="H71:BK71"/>
    <mergeCell ref="BL71:BY71"/>
    <mergeCell ref="A70:G70"/>
    <mergeCell ref="H70:BK70"/>
    <mergeCell ref="BL70:BY70"/>
    <mergeCell ref="A69:G69"/>
    <mergeCell ref="H69:BK69"/>
    <mergeCell ref="BL69:BY69"/>
    <mergeCell ref="A68:G68"/>
    <mergeCell ref="H68:BK68"/>
    <mergeCell ref="BL68:BY68"/>
    <mergeCell ref="A67:G67"/>
    <mergeCell ref="H67:BK67"/>
    <mergeCell ref="BL67:BY67"/>
    <mergeCell ref="A66:G66"/>
    <mergeCell ref="H66:BK66"/>
    <mergeCell ref="BL66:BY66"/>
    <mergeCell ref="A65:G65"/>
    <mergeCell ref="H65:BK65"/>
    <mergeCell ref="BL65:BY65"/>
    <mergeCell ref="A64:G64"/>
    <mergeCell ref="H64:BK64"/>
    <mergeCell ref="BL64:BY64"/>
    <mergeCell ref="A63:G63"/>
    <mergeCell ref="H63:BK63"/>
    <mergeCell ref="BL63:BY63"/>
    <mergeCell ref="A62:G62"/>
    <mergeCell ref="H62:BK62"/>
    <mergeCell ref="BL62:BY62"/>
    <mergeCell ref="A61:G61"/>
    <mergeCell ref="H61:BK61"/>
    <mergeCell ref="BL61:BY61"/>
    <mergeCell ref="A60:G60"/>
    <mergeCell ref="H60:BK60"/>
    <mergeCell ref="BL60:BY60"/>
    <mergeCell ref="A59:G59"/>
    <mergeCell ref="H59:BK59"/>
    <mergeCell ref="BL59:BY59"/>
    <mergeCell ref="A58:G58"/>
    <mergeCell ref="H58:BK58"/>
    <mergeCell ref="BL58:BY58"/>
    <mergeCell ref="A57:G57"/>
    <mergeCell ref="H57:BK57"/>
    <mergeCell ref="BL57:BY57"/>
    <mergeCell ref="A56:G56"/>
    <mergeCell ref="H56:BK56"/>
    <mergeCell ref="BL56:BY56"/>
    <mergeCell ref="A55:G55"/>
    <mergeCell ref="H55:BK55"/>
    <mergeCell ref="BL55:BY55"/>
    <mergeCell ref="A54:G54"/>
    <mergeCell ref="H54:BK54"/>
    <mergeCell ref="BL54:BY54"/>
    <mergeCell ref="A53:G53"/>
    <mergeCell ref="H53:BK53"/>
    <mergeCell ref="BL53:BY53"/>
    <mergeCell ref="A52:G52"/>
    <mergeCell ref="H52:BK52"/>
    <mergeCell ref="BL52:BY52"/>
    <mergeCell ref="A51:G51"/>
    <mergeCell ref="H51:BK51"/>
    <mergeCell ref="BL51:BY51"/>
    <mergeCell ref="A50:G50"/>
    <mergeCell ref="H50:BK50"/>
    <mergeCell ref="BL50:BY50"/>
    <mergeCell ref="A49:G49"/>
    <mergeCell ref="H49:BK49"/>
    <mergeCell ref="BL49:BY49"/>
    <mergeCell ref="A48:G48"/>
    <mergeCell ref="H48:BK48"/>
    <mergeCell ref="BL48:BY48"/>
    <mergeCell ref="A47:G47"/>
    <mergeCell ref="H47:BK47"/>
    <mergeCell ref="BL47:BY47"/>
    <mergeCell ref="A46:G46"/>
    <mergeCell ref="H46:BK46"/>
    <mergeCell ref="BL46:BY46"/>
    <mergeCell ref="A45:G45"/>
    <mergeCell ref="H45:BK45"/>
    <mergeCell ref="BL45:BY45"/>
    <mergeCell ref="A44:G44"/>
    <mergeCell ref="H44:BK44"/>
    <mergeCell ref="BL44:BY44"/>
    <mergeCell ref="A43:G43"/>
    <mergeCell ref="H43:BK43"/>
    <mergeCell ref="BL43:BY43"/>
    <mergeCell ref="A42:G42"/>
    <mergeCell ref="H42:BK42"/>
    <mergeCell ref="BL42:BY42"/>
    <mergeCell ref="A41:G41"/>
    <mergeCell ref="H41:BK41"/>
    <mergeCell ref="BL41:BY41"/>
    <mergeCell ref="A40:G40"/>
    <mergeCell ref="H40:BK40"/>
    <mergeCell ref="BL40:BY40"/>
    <mergeCell ref="A39:G39"/>
    <mergeCell ref="H39:BK39"/>
    <mergeCell ref="BL39:BY39"/>
    <mergeCell ref="A38:G38"/>
    <mergeCell ref="H38:BK38"/>
    <mergeCell ref="BL38:BY38"/>
    <mergeCell ref="A37:G37"/>
    <mergeCell ref="H37:BK37"/>
    <mergeCell ref="BL37:BY37"/>
    <mergeCell ref="A36:G36"/>
    <mergeCell ref="H36:BK36"/>
    <mergeCell ref="BL36:BY36"/>
    <mergeCell ref="A35:G35"/>
    <mergeCell ref="H35:BK35"/>
    <mergeCell ref="BL35:BY35"/>
    <mergeCell ref="A34:G34"/>
    <mergeCell ref="H34:BK34"/>
    <mergeCell ref="BL34:BY34"/>
    <mergeCell ref="A33:G33"/>
    <mergeCell ref="H33:BK33"/>
    <mergeCell ref="BL33:BY33"/>
    <mergeCell ref="A32:G32"/>
    <mergeCell ref="H32:BK32"/>
    <mergeCell ref="BL32:BY32"/>
    <mergeCell ref="A31:G31"/>
    <mergeCell ref="H31:BK31"/>
    <mergeCell ref="BL31:BY31"/>
    <mergeCell ref="A30:G30"/>
    <mergeCell ref="H30:BK30"/>
    <mergeCell ref="BL30:BY30"/>
    <mergeCell ref="A29:G29"/>
    <mergeCell ref="H29:BK29"/>
    <mergeCell ref="BL29:BY29"/>
    <mergeCell ref="A28:G28"/>
    <mergeCell ref="H28:BK28"/>
    <mergeCell ref="BL28:BY28"/>
    <mergeCell ref="A27:G27"/>
    <mergeCell ref="H27:BK27"/>
    <mergeCell ref="BL27:BY27"/>
    <mergeCell ref="A26:G26"/>
    <mergeCell ref="H26:BK26"/>
    <mergeCell ref="BL26:BY26"/>
    <mergeCell ref="A25:G25"/>
    <mergeCell ref="H25:BK25"/>
    <mergeCell ref="BL25:BY25"/>
    <mergeCell ref="A24:G24"/>
    <mergeCell ref="H24:BK24"/>
    <mergeCell ref="BL24:BY24"/>
    <mergeCell ref="A23:G23"/>
    <mergeCell ref="H23:BK23"/>
    <mergeCell ref="BL23:BY23"/>
    <mergeCell ref="A22:G22"/>
    <mergeCell ref="H22:BK22"/>
    <mergeCell ref="BL22:BY22"/>
    <mergeCell ref="A21:G21"/>
    <mergeCell ref="H21:BK21"/>
    <mergeCell ref="BL21:BY21"/>
    <mergeCell ref="A20:G20"/>
    <mergeCell ref="H20:BK20"/>
    <mergeCell ref="BL20:BY20"/>
    <mergeCell ref="A19:G19"/>
    <mergeCell ref="H19:BK19"/>
    <mergeCell ref="BL19:BY19"/>
    <mergeCell ref="A18:G18"/>
    <mergeCell ref="H18:BK18"/>
    <mergeCell ref="BL18:BY18"/>
    <mergeCell ref="A17:G17"/>
    <mergeCell ref="H17:BK17"/>
    <mergeCell ref="BL17:BY17"/>
    <mergeCell ref="A16:G16"/>
    <mergeCell ref="H16:BK16"/>
    <mergeCell ref="BL16:BY16"/>
    <mergeCell ref="A15:G15"/>
    <mergeCell ref="H15:BK15"/>
    <mergeCell ref="BL15:BY15"/>
    <mergeCell ref="A5:AP5"/>
    <mergeCell ref="A6:AP6"/>
    <mergeCell ref="BG1:BY1"/>
    <mergeCell ref="A14:G14"/>
    <mergeCell ref="H14:BK14"/>
    <mergeCell ref="BL14:BY14"/>
    <mergeCell ref="BL12:BY13"/>
    <mergeCell ref="A12:G13"/>
    <mergeCell ref="H12:BK13"/>
    <mergeCell ref="A7:AP7"/>
    <mergeCell ref="A8:AP8"/>
    <mergeCell ref="A9:AO9"/>
    <mergeCell ref="A3:BX3"/>
    <mergeCell ref="BH5:BX5"/>
    <mergeCell ref="BH6:BY6"/>
    <mergeCell ref="BH7:BW7"/>
    <mergeCell ref="BH8:BX8"/>
    <mergeCell ref="BH9:BY9"/>
    <mergeCell ref="A75:G75"/>
    <mergeCell ref="H75:BK75"/>
    <mergeCell ref="BL75:BY75"/>
    <mergeCell ref="A78:G78"/>
    <mergeCell ref="H78:BK78"/>
    <mergeCell ref="BL78:BY78"/>
    <mergeCell ref="F91:G91"/>
    <mergeCell ref="E92:G92"/>
    <mergeCell ref="H92:BX92"/>
    <mergeCell ref="A81:G81"/>
    <mergeCell ref="H81:BK81"/>
    <mergeCell ref="BL81:BY81"/>
    <mergeCell ref="H80:BK80"/>
    <mergeCell ref="BL80:BY80"/>
    <mergeCell ref="A80:G80"/>
    <mergeCell ref="A77:G77"/>
    <mergeCell ref="H77:BK77"/>
    <mergeCell ref="BL77:BY77"/>
    <mergeCell ref="A79:G79"/>
    <mergeCell ref="H79:BK79"/>
    <mergeCell ref="BL79:BY79"/>
    <mergeCell ref="A76:G76"/>
    <mergeCell ref="H76:BK76"/>
    <mergeCell ref="BL76:BY76"/>
  </mergeCells>
  <printOptions horizontalCentered="1"/>
  <pageMargins left="0.98425196850393704" right="0.39370078740157483" top="0.59055118110236227" bottom="0.59055118110236227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Y49"/>
  <sheetViews>
    <sheetView tabSelected="1" topLeftCell="A12" zoomScaleSheetLayoutView="80" workbookViewId="0">
      <selection activeCell="J26" sqref="J26:BI26"/>
    </sheetView>
  </sheetViews>
  <sheetFormatPr defaultRowHeight="12.75"/>
  <cols>
    <col min="1" max="60" width="0.85546875" style="2" customWidth="1"/>
    <col min="61" max="61" width="16.85546875" style="2" customWidth="1"/>
    <col min="62" max="71" width="1.140625" style="2" customWidth="1"/>
    <col min="72" max="72" width="6.140625" style="2" customWidth="1"/>
    <col min="73" max="73" width="37.28515625" style="2" customWidth="1"/>
    <col min="74" max="16384" width="9.140625" style="2"/>
  </cols>
  <sheetData>
    <row r="1" spans="1:77" ht="48.75" customHeight="1">
      <c r="BI1" s="86" t="s">
        <v>65</v>
      </c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16"/>
      <c r="BW1" s="16"/>
      <c r="BX1" s="16"/>
      <c r="BY1" s="16"/>
    </row>
    <row r="3" spans="1:77" s="3" customFormat="1" ht="50.25" customHeight="1">
      <c r="A3" s="103" t="s">
        <v>20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</row>
    <row r="4" spans="1:77">
      <c r="BI4" s="11"/>
    </row>
    <row r="5" spans="1:77" ht="29.25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BA5" s="13"/>
      <c r="BB5" s="13"/>
      <c r="BC5" s="13"/>
      <c r="BD5" s="13"/>
      <c r="BE5" s="13"/>
      <c r="BF5" s="13"/>
      <c r="BG5" s="13"/>
      <c r="BH5" s="13"/>
      <c r="BI5" s="164" t="s">
        <v>155</v>
      </c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</row>
    <row r="6" spans="1:77" ht="33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BA6" s="14"/>
      <c r="BB6" s="14"/>
      <c r="BC6" s="14"/>
      <c r="BD6" s="14"/>
      <c r="BE6" s="14"/>
      <c r="BF6" s="14"/>
      <c r="BG6" s="14"/>
      <c r="BH6" s="14"/>
      <c r="BI6" s="165" t="s">
        <v>154</v>
      </c>
      <c r="BJ6" s="165"/>
      <c r="BK6" s="165"/>
      <c r="BL6" s="165"/>
      <c r="BM6" s="165"/>
      <c r="BN6" s="165"/>
      <c r="BO6" s="165"/>
      <c r="BP6" s="165"/>
      <c r="BQ6" s="165"/>
      <c r="BR6" s="165"/>
      <c r="BS6" s="165"/>
      <c r="BT6" s="165"/>
      <c r="BU6" s="165"/>
    </row>
    <row r="7" spans="1:77" ht="25.5" customHeight="1">
      <c r="A7" s="179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BA7" s="14"/>
      <c r="BB7" s="14"/>
      <c r="BC7" s="14"/>
      <c r="BD7" s="14"/>
      <c r="BE7" s="14"/>
      <c r="BF7" s="14"/>
      <c r="BG7" s="14"/>
      <c r="BH7" s="14"/>
      <c r="BI7" s="165" t="s">
        <v>157</v>
      </c>
      <c r="BJ7" s="165"/>
      <c r="BK7" s="165"/>
      <c r="BL7" s="165"/>
      <c r="BM7" s="165"/>
      <c r="BN7" s="165"/>
      <c r="BO7" s="165"/>
      <c r="BP7" s="165"/>
      <c r="BQ7" s="165"/>
      <c r="BR7" s="165"/>
      <c r="BS7" s="165"/>
      <c r="BT7" s="165"/>
      <c r="BU7" s="165"/>
    </row>
    <row r="8" spans="1:77" ht="24.75" customHeight="1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BB8" s="15"/>
      <c r="BC8" s="15"/>
      <c r="BD8" s="15"/>
      <c r="BE8" s="15"/>
      <c r="BF8" s="15"/>
      <c r="BG8" s="15"/>
      <c r="BH8" s="15"/>
      <c r="BI8" s="165" t="s">
        <v>158</v>
      </c>
      <c r="BJ8" s="165"/>
      <c r="BK8" s="165"/>
      <c r="BL8" s="165"/>
      <c r="BM8" s="165"/>
      <c r="BN8" s="165"/>
      <c r="BO8" s="165"/>
      <c r="BP8" s="165"/>
      <c r="BQ8" s="165"/>
      <c r="BR8" s="165"/>
      <c r="BS8" s="165"/>
      <c r="BT8" s="165"/>
      <c r="BU8" s="165"/>
    </row>
    <row r="9" spans="1:77" ht="18.75" customHeight="1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BC9" s="9"/>
      <c r="BD9" s="9"/>
      <c r="BE9" s="9"/>
      <c r="BF9" s="9"/>
      <c r="BG9" s="9"/>
      <c r="BH9" s="9"/>
      <c r="BI9" s="166" t="s">
        <v>21</v>
      </c>
      <c r="BJ9" s="166"/>
      <c r="BK9" s="166"/>
      <c r="BL9" s="166"/>
      <c r="BM9" s="166"/>
      <c r="BN9" s="166"/>
      <c r="BO9" s="166"/>
      <c r="BP9" s="166"/>
      <c r="BQ9" s="166"/>
      <c r="BR9" s="166"/>
      <c r="BS9" s="166"/>
      <c r="BT9" s="166"/>
      <c r="BU9" s="166"/>
    </row>
    <row r="11" spans="1:77">
      <c r="BT11" s="2" t="s">
        <v>1</v>
      </c>
    </row>
    <row r="12" spans="1:77" ht="40.5" customHeight="1">
      <c r="A12" s="184" t="s">
        <v>22</v>
      </c>
      <c r="B12" s="184"/>
      <c r="C12" s="184"/>
      <c r="D12" s="184"/>
      <c r="E12" s="184"/>
      <c r="F12" s="184"/>
      <c r="G12" s="184"/>
      <c r="H12" s="184"/>
      <c r="I12" s="184"/>
      <c r="J12" s="184" t="s">
        <v>23</v>
      </c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  <c r="BI12" s="184"/>
      <c r="BJ12" s="184" t="s">
        <v>227</v>
      </c>
      <c r="BK12" s="184"/>
      <c r="BL12" s="184"/>
      <c r="BM12" s="184"/>
      <c r="BN12" s="184"/>
      <c r="BO12" s="184"/>
      <c r="BP12" s="184"/>
      <c r="BQ12" s="184"/>
      <c r="BR12" s="184"/>
      <c r="BS12" s="184"/>
      <c r="BT12" s="184"/>
      <c r="BU12" s="59" t="s">
        <v>224</v>
      </c>
    </row>
    <row r="13" spans="1:77" s="4" customFormat="1" ht="24.95" customHeight="1">
      <c r="A13" s="172" t="s">
        <v>2</v>
      </c>
      <c r="B13" s="172"/>
      <c r="C13" s="172"/>
      <c r="D13" s="172"/>
      <c r="E13" s="172"/>
      <c r="F13" s="172"/>
      <c r="G13" s="172"/>
      <c r="H13" s="172"/>
      <c r="I13" s="172"/>
      <c r="J13" s="182" t="s">
        <v>146</v>
      </c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  <c r="BI13" s="182"/>
      <c r="BJ13" s="174">
        <f>27.302+10.286</f>
        <v>37.588000000000001</v>
      </c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55"/>
      <c r="BV13" s="8"/>
    </row>
    <row r="14" spans="1:77" s="4" customFormat="1" ht="24.95" customHeight="1">
      <c r="A14" s="172" t="s">
        <v>3</v>
      </c>
      <c r="B14" s="172"/>
      <c r="C14" s="172"/>
      <c r="D14" s="172"/>
      <c r="E14" s="172"/>
      <c r="F14" s="172"/>
      <c r="G14" s="172"/>
      <c r="H14" s="172"/>
      <c r="I14" s="172"/>
      <c r="J14" s="173" t="s">
        <v>24</v>
      </c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174">
        <f>BJ15+BJ16+BJ17+BJ20</f>
        <v>20.297237288135598</v>
      </c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56"/>
    </row>
    <row r="15" spans="1:77" s="4" customFormat="1" ht="28.5" customHeight="1">
      <c r="A15" s="167" t="s">
        <v>8</v>
      </c>
      <c r="B15" s="167"/>
      <c r="C15" s="167"/>
      <c r="D15" s="167"/>
      <c r="E15" s="167"/>
      <c r="F15" s="167"/>
      <c r="G15" s="167"/>
      <c r="H15" s="167"/>
      <c r="I15" s="167"/>
      <c r="J15" s="168" t="s">
        <v>243</v>
      </c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70">
        <v>14.797000000000001</v>
      </c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57" t="s">
        <v>226</v>
      </c>
    </row>
    <row r="16" spans="1:77" s="4" customFormat="1" ht="24.95" customHeight="1">
      <c r="A16" s="167" t="s">
        <v>25</v>
      </c>
      <c r="B16" s="167"/>
      <c r="C16" s="167"/>
      <c r="D16" s="167"/>
      <c r="E16" s="167"/>
      <c r="F16" s="167"/>
      <c r="G16" s="167"/>
      <c r="H16" s="167"/>
      <c r="I16" s="167"/>
      <c r="J16" s="168" t="s">
        <v>26</v>
      </c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9">
        <v>0</v>
      </c>
      <c r="BK16" s="169"/>
      <c r="BL16" s="169"/>
      <c r="BM16" s="169"/>
      <c r="BN16" s="169"/>
      <c r="BO16" s="169"/>
      <c r="BP16" s="169"/>
      <c r="BQ16" s="169"/>
      <c r="BR16" s="169"/>
      <c r="BS16" s="169"/>
      <c r="BT16" s="169"/>
      <c r="BU16" s="57"/>
    </row>
    <row r="17" spans="1:74" s="4" customFormat="1" ht="24.95" customHeight="1">
      <c r="A17" s="167" t="s">
        <v>27</v>
      </c>
      <c r="B17" s="167"/>
      <c r="C17" s="167"/>
      <c r="D17" s="167"/>
      <c r="E17" s="167"/>
      <c r="F17" s="167"/>
      <c r="G17" s="167"/>
      <c r="H17" s="167"/>
      <c r="I17" s="167"/>
      <c r="J17" s="185" t="s">
        <v>28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69">
        <v>0</v>
      </c>
      <c r="BK17" s="169"/>
      <c r="BL17" s="169"/>
      <c r="BM17" s="169"/>
      <c r="BN17" s="169"/>
      <c r="BO17" s="169"/>
      <c r="BP17" s="169"/>
      <c r="BQ17" s="169"/>
      <c r="BR17" s="169"/>
      <c r="BS17" s="169"/>
      <c r="BT17" s="169"/>
      <c r="BU17" s="54"/>
    </row>
    <row r="18" spans="1:74" s="4" customFormat="1" ht="24.95" customHeight="1">
      <c r="A18" s="167" t="s">
        <v>29</v>
      </c>
      <c r="B18" s="167"/>
      <c r="C18" s="167"/>
      <c r="D18" s="167"/>
      <c r="E18" s="167"/>
      <c r="F18" s="167"/>
      <c r="G18" s="167"/>
      <c r="H18" s="167"/>
      <c r="I18" s="167"/>
      <c r="J18" s="168" t="s">
        <v>30</v>
      </c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9">
        <v>0</v>
      </c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54"/>
    </row>
    <row r="19" spans="1:74" s="4" customFormat="1" ht="24.95" customHeight="1">
      <c r="A19" s="167" t="s">
        <v>31</v>
      </c>
      <c r="B19" s="167"/>
      <c r="C19" s="167"/>
      <c r="D19" s="167"/>
      <c r="E19" s="167"/>
      <c r="F19" s="167"/>
      <c r="G19" s="167"/>
      <c r="H19" s="167"/>
      <c r="I19" s="167"/>
      <c r="J19" s="168" t="s">
        <v>32</v>
      </c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9">
        <v>0</v>
      </c>
      <c r="BK19" s="169"/>
      <c r="BL19" s="169"/>
      <c r="BM19" s="169"/>
      <c r="BN19" s="169"/>
      <c r="BO19" s="169"/>
      <c r="BP19" s="169"/>
      <c r="BQ19" s="169"/>
      <c r="BR19" s="169"/>
      <c r="BS19" s="169"/>
      <c r="BT19" s="169"/>
      <c r="BU19" s="54"/>
    </row>
    <row r="20" spans="1:74" s="4" customFormat="1" ht="39.75" customHeight="1">
      <c r="A20" s="167" t="s">
        <v>33</v>
      </c>
      <c r="B20" s="167"/>
      <c r="C20" s="167"/>
      <c r="D20" s="167"/>
      <c r="E20" s="167"/>
      <c r="F20" s="167"/>
      <c r="G20" s="167"/>
      <c r="H20" s="167"/>
      <c r="I20" s="167"/>
      <c r="J20" s="168" t="s">
        <v>223</v>
      </c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70">
        <f>BJ13-BJ15-BJ21-BJ25-BJ26</f>
        <v>5.5002372881355974</v>
      </c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54" t="s">
        <v>242</v>
      </c>
    </row>
    <row r="21" spans="1:74" s="4" customFormat="1" ht="24.95" customHeight="1">
      <c r="A21" s="175" t="s">
        <v>4</v>
      </c>
      <c r="B21" s="175"/>
      <c r="C21" s="175"/>
      <c r="D21" s="175"/>
      <c r="E21" s="175"/>
      <c r="F21" s="175"/>
      <c r="G21" s="175"/>
      <c r="H21" s="175"/>
      <c r="I21" s="175"/>
      <c r="J21" s="176" t="s">
        <v>35</v>
      </c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7">
        <f>BJ22+BJ23+BJ24</f>
        <v>1.8160000000000001</v>
      </c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54"/>
    </row>
    <row r="22" spans="1:74" s="4" customFormat="1" ht="24.95" customHeight="1">
      <c r="A22" s="167" t="s">
        <v>36</v>
      </c>
      <c r="B22" s="167"/>
      <c r="C22" s="167"/>
      <c r="D22" s="167"/>
      <c r="E22" s="167"/>
      <c r="F22" s="167"/>
      <c r="G22" s="167"/>
      <c r="H22" s="167"/>
      <c r="I22" s="167"/>
      <c r="J22" s="168" t="s">
        <v>37</v>
      </c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70">
        <v>1.8160000000000001</v>
      </c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57"/>
    </row>
    <row r="23" spans="1:74" s="4" customFormat="1" ht="24.95" customHeight="1">
      <c r="A23" s="167" t="s">
        <v>38</v>
      </c>
      <c r="B23" s="167"/>
      <c r="C23" s="167"/>
      <c r="D23" s="167"/>
      <c r="E23" s="167"/>
      <c r="F23" s="167"/>
      <c r="G23" s="167"/>
      <c r="H23" s="167"/>
      <c r="I23" s="167"/>
      <c r="J23" s="168" t="s">
        <v>39</v>
      </c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78">
        <v>0</v>
      </c>
      <c r="BK23" s="178"/>
      <c r="BL23" s="178"/>
      <c r="BM23" s="178"/>
      <c r="BN23" s="178"/>
      <c r="BO23" s="178"/>
      <c r="BP23" s="178"/>
      <c r="BQ23" s="178"/>
      <c r="BR23" s="178"/>
      <c r="BS23" s="178"/>
      <c r="BT23" s="178"/>
      <c r="BU23" s="54"/>
    </row>
    <row r="24" spans="1:74" s="4" customFormat="1" ht="24.95" customHeight="1">
      <c r="A24" s="167" t="s">
        <v>40</v>
      </c>
      <c r="B24" s="167"/>
      <c r="C24" s="167"/>
      <c r="D24" s="167"/>
      <c r="E24" s="167"/>
      <c r="F24" s="167"/>
      <c r="G24" s="167"/>
      <c r="H24" s="167"/>
      <c r="I24" s="167"/>
      <c r="J24" s="168" t="s">
        <v>41</v>
      </c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78">
        <v>0</v>
      </c>
      <c r="BK24" s="178"/>
      <c r="BL24" s="178"/>
      <c r="BM24" s="178"/>
      <c r="BN24" s="178"/>
      <c r="BO24" s="178"/>
      <c r="BP24" s="178"/>
      <c r="BQ24" s="178"/>
      <c r="BR24" s="178"/>
      <c r="BS24" s="178"/>
      <c r="BT24" s="178"/>
      <c r="BU24" s="54"/>
    </row>
    <row r="25" spans="1:74" s="4" customFormat="1" ht="24.95" customHeight="1">
      <c r="A25" s="180" t="s">
        <v>5</v>
      </c>
      <c r="B25" s="180"/>
      <c r="C25" s="180"/>
      <c r="D25" s="180"/>
      <c r="E25" s="180"/>
      <c r="F25" s="180"/>
      <c r="G25" s="180"/>
      <c r="H25" s="180"/>
      <c r="I25" s="180"/>
      <c r="J25" s="181" t="s">
        <v>42</v>
      </c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77">
        <f>BJ13-BJ13/1.18</f>
        <v>5.7337627118644043</v>
      </c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54"/>
    </row>
    <row r="26" spans="1:74" s="4" customFormat="1" ht="30.75" customHeight="1">
      <c r="A26" s="167" t="s">
        <v>6</v>
      </c>
      <c r="B26" s="167"/>
      <c r="C26" s="167"/>
      <c r="D26" s="167"/>
      <c r="E26" s="167"/>
      <c r="F26" s="167"/>
      <c r="G26" s="167"/>
      <c r="H26" s="167"/>
      <c r="I26" s="167"/>
      <c r="J26" s="168" t="s">
        <v>244</v>
      </c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70">
        <f>BJ28</f>
        <v>9.7409999999999997</v>
      </c>
      <c r="BK26" s="171"/>
      <c r="BL26" s="171"/>
      <c r="BM26" s="171"/>
      <c r="BN26" s="171"/>
      <c r="BO26" s="171"/>
      <c r="BP26" s="171"/>
      <c r="BQ26" s="171"/>
      <c r="BR26" s="171"/>
      <c r="BS26" s="171"/>
      <c r="BT26" s="171"/>
      <c r="BU26" s="57"/>
      <c r="BV26" s="8"/>
    </row>
    <row r="27" spans="1:74" s="4" customFormat="1" ht="18" customHeight="1">
      <c r="A27" s="167" t="s">
        <v>43</v>
      </c>
      <c r="B27" s="167"/>
      <c r="C27" s="167"/>
      <c r="D27" s="167"/>
      <c r="E27" s="167"/>
      <c r="F27" s="167"/>
      <c r="G27" s="167"/>
      <c r="H27" s="167"/>
      <c r="I27" s="167"/>
      <c r="J27" s="168" t="s">
        <v>44</v>
      </c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9">
        <v>0</v>
      </c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54"/>
      <c r="BV27" s="8"/>
    </row>
    <row r="28" spans="1:74" s="4" customFormat="1" ht="30.75" customHeight="1">
      <c r="A28" s="167" t="s">
        <v>64</v>
      </c>
      <c r="B28" s="167"/>
      <c r="C28" s="167"/>
      <c r="D28" s="167"/>
      <c r="E28" s="167"/>
      <c r="F28" s="167"/>
      <c r="G28" s="167"/>
      <c r="H28" s="167"/>
      <c r="I28" s="167"/>
      <c r="J28" s="168" t="s">
        <v>61</v>
      </c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71">
        <f>3.263+6.478</f>
        <v>9.7409999999999997</v>
      </c>
      <c r="BK28" s="171"/>
      <c r="BL28" s="171"/>
      <c r="BM28" s="171"/>
      <c r="BN28" s="171"/>
      <c r="BO28" s="171"/>
      <c r="BP28" s="171"/>
      <c r="BQ28" s="171"/>
      <c r="BR28" s="171"/>
      <c r="BS28" s="171"/>
      <c r="BT28" s="171"/>
      <c r="BU28" s="57" t="s">
        <v>228</v>
      </c>
    </row>
    <row r="29" spans="1:74" s="4" customFormat="1" ht="24.95" customHeight="1">
      <c r="A29" s="167" t="s">
        <v>7</v>
      </c>
      <c r="B29" s="167"/>
      <c r="C29" s="167"/>
      <c r="D29" s="167"/>
      <c r="E29" s="167"/>
      <c r="F29" s="167"/>
      <c r="G29" s="167"/>
      <c r="H29" s="167"/>
      <c r="I29" s="167"/>
      <c r="J29" s="168" t="s">
        <v>45</v>
      </c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78">
        <v>0</v>
      </c>
      <c r="BK29" s="178"/>
      <c r="BL29" s="178"/>
      <c r="BM29" s="178"/>
      <c r="BN29" s="178"/>
      <c r="BO29" s="178"/>
      <c r="BP29" s="178"/>
      <c r="BQ29" s="178"/>
      <c r="BR29" s="178"/>
      <c r="BS29" s="178"/>
      <c r="BT29" s="178"/>
      <c r="BU29" s="54"/>
    </row>
    <row r="30" spans="1:74" s="4" customFormat="1" ht="24.95" customHeight="1">
      <c r="A30" s="167" t="s">
        <v>17</v>
      </c>
      <c r="B30" s="167"/>
      <c r="C30" s="167"/>
      <c r="D30" s="167"/>
      <c r="E30" s="167"/>
      <c r="F30" s="167"/>
      <c r="G30" s="167"/>
      <c r="H30" s="167"/>
      <c r="I30" s="167"/>
      <c r="J30" s="168" t="s">
        <v>46</v>
      </c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9">
        <f>SUM(BJ31:BT37)</f>
        <v>0</v>
      </c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54"/>
    </row>
    <row r="31" spans="1:74" s="4" customFormat="1" ht="24.95" customHeight="1">
      <c r="A31" s="167" t="s">
        <v>9</v>
      </c>
      <c r="B31" s="167"/>
      <c r="C31" s="167"/>
      <c r="D31" s="167"/>
      <c r="E31" s="167"/>
      <c r="F31" s="167"/>
      <c r="G31" s="167"/>
      <c r="H31" s="167"/>
      <c r="I31" s="167"/>
      <c r="J31" s="168" t="s">
        <v>47</v>
      </c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9">
        <v>0</v>
      </c>
      <c r="BK31" s="169"/>
      <c r="BL31" s="169"/>
      <c r="BM31" s="169"/>
      <c r="BN31" s="169"/>
      <c r="BO31" s="169"/>
      <c r="BP31" s="169"/>
      <c r="BQ31" s="169"/>
      <c r="BR31" s="169"/>
      <c r="BS31" s="169"/>
      <c r="BT31" s="169"/>
      <c r="BU31" s="54"/>
    </row>
    <row r="32" spans="1:74" s="4" customFormat="1" ht="24.95" customHeight="1">
      <c r="A32" s="167" t="s">
        <v>10</v>
      </c>
      <c r="B32" s="167"/>
      <c r="C32" s="167"/>
      <c r="D32" s="167"/>
      <c r="E32" s="167"/>
      <c r="F32" s="167"/>
      <c r="G32" s="167"/>
      <c r="H32" s="167"/>
      <c r="I32" s="167"/>
      <c r="J32" s="168" t="s">
        <v>48</v>
      </c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9">
        <v>0</v>
      </c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54"/>
    </row>
    <row r="33" spans="1:73" s="4" customFormat="1" ht="24.95" customHeight="1">
      <c r="A33" s="167" t="s">
        <v>11</v>
      </c>
      <c r="B33" s="167"/>
      <c r="C33" s="167"/>
      <c r="D33" s="167"/>
      <c r="E33" s="167"/>
      <c r="F33" s="167"/>
      <c r="G33" s="167"/>
      <c r="H33" s="167"/>
      <c r="I33" s="167"/>
      <c r="J33" s="168" t="s">
        <v>49</v>
      </c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9">
        <v>0</v>
      </c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54"/>
    </row>
    <row r="34" spans="1:73" s="4" customFormat="1" ht="24.95" customHeight="1">
      <c r="A34" s="167" t="s">
        <v>12</v>
      </c>
      <c r="B34" s="167"/>
      <c r="C34" s="167"/>
      <c r="D34" s="167"/>
      <c r="E34" s="167"/>
      <c r="F34" s="167"/>
      <c r="G34" s="167"/>
      <c r="H34" s="167"/>
      <c r="I34" s="167"/>
      <c r="J34" s="168" t="s">
        <v>50</v>
      </c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9">
        <v>0</v>
      </c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54"/>
    </row>
    <row r="35" spans="1:73" s="4" customFormat="1" ht="24.95" customHeight="1">
      <c r="A35" s="167" t="s">
        <v>13</v>
      </c>
      <c r="B35" s="167"/>
      <c r="C35" s="167"/>
      <c r="D35" s="167"/>
      <c r="E35" s="167"/>
      <c r="F35" s="167"/>
      <c r="G35" s="167"/>
      <c r="H35" s="167"/>
      <c r="I35" s="167"/>
      <c r="J35" s="168" t="s">
        <v>51</v>
      </c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9">
        <v>0</v>
      </c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54"/>
    </row>
    <row r="36" spans="1:73" s="4" customFormat="1" ht="24.95" customHeight="1">
      <c r="A36" s="167" t="s">
        <v>14</v>
      </c>
      <c r="B36" s="167"/>
      <c r="C36" s="167"/>
      <c r="D36" s="167"/>
      <c r="E36" s="167"/>
      <c r="F36" s="167"/>
      <c r="G36" s="167"/>
      <c r="H36" s="167"/>
      <c r="I36" s="167"/>
      <c r="J36" s="168" t="s">
        <v>52</v>
      </c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9">
        <v>0</v>
      </c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54"/>
    </row>
    <row r="37" spans="1:73" s="4" customFormat="1" ht="24.95" customHeight="1">
      <c r="A37" s="167" t="s">
        <v>15</v>
      </c>
      <c r="B37" s="167"/>
      <c r="C37" s="167"/>
      <c r="D37" s="167"/>
      <c r="E37" s="167"/>
      <c r="F37" s="167"/>
      <c r="G37" s="167"/>
      <c r="H37" s="167"/>
      <c r="I37" s="167"/>
      <c r="J37" s="168" t="s">
        <v>53</v>
      </c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9">
        <v>0</v>
      </c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54"/>
    </row>
    <row r="38" spans="1:73" s="5" customFormat="1" ht="24.95" customHeight="1">
      <c r="A38" s="187"/>
      <c r="B38" s="187"/>
      <c r="C38" s="187"/>
      <c r="D38" s="187"/>
      <c r="E38" s="187"/>
      <c r="F38" s="187"/>
      <c r="G38" s="187"/>
      <c r="H38" s="187"/>
      <c r="I38" s="187"/>
      <c r="J38" s="188" t="s">
        <v>54</v>
      </c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70">
        <f>BJ13+BJ30</f>
        <v>37.588000000000001</v>
      </c>
      <c r="BK38" s="171"/>
      <c r="BL38" s="171"/>
      <c r="BM38" s="171"/>
      <c r="BN38" s="171"/>
      <c r="BO38" s="171"/>
      <c r="BP38" s="171"/>
      <c r="BQ38" s="171"/>
      <c r="BR38" s="171"/>
      <c r="BS38" s="171"/>
      <c r="BT38" s="171"/>
      <c r="BU38" s="58"/>
    </row>
    <row r="39" spans="1:73" s="4" customFormat="1" ht="24.95" customHeight="1">
      <c r="A39" s="167"/>
      <c r="B39" s="167"/>
      <c r="C39" s="167"/>
      <c r="D39" s="167"/>
      <c r="E39" s="167"/>
      <c r="F39" s="167"/>
      <c r="G39" s="167"/>
      <c r="H39" s="167"/>
      <c r="I39" s="167"/>
      <c r="J39" s="168" t="s">
        <v>225</v>
      </c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9" t="s">
        <v>151</v>
      </c>
      <c r="BK39" s="169"/>
      <c r="BL39" s="169"/>
      <c r="BM39" s="169"/>
      <c r="BN39" s="169"/>
      <c r="BO39" s="169"/>
      <c r="BP39" s="169"/>
      <c r="BQ39" s="169"/>
      <c r="BR39" s="169"/>
      <c r="BS39" s="169"/>
      <c r="BT39" s="169"/>
      <c r="BU39" s="54"/>
    </row>
    <row r="40" spans="1:73" s="4" customFormat="1" ht="24.95" customHeight="1">
      <c r="A40" s="167"/>
      <c r="B40" s="167"/>
      <c r="C40" s="167"/>
      <c r="D40" s="167"/>
      <c r="E40" s="167"/>
      <c r="F40" s="167"/>
      <c r="G40" s="167"/>
      <c r="H40" s="167"/>
      <c r="I40" s="167"/>
      <c r="J40" s="186" t="s">
        <v>55</v>
      </c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69" t="s">
        <v>151</v>
      </c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54"/>
    </row>
    <row r="41" spans="1:73" s="4" customFormat="1" ht="24.95" customHeight="1">
      <c r="A41" s="167"/>
      <c r="B41" s="167"/>
      <c r="C41" s="167"/>
      <c r="D41" s="167"/>
      <c r="E41" s="167"/>
      <c r="F41" s="167"/>
      <c r="G41" s="167"/>
      <c r="H41" s="167"/>
      <c r="I41" s="167"/>
      <c r="J41" s="186" t="s">
        <v>56</v>
      </c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69" t="s">
        <v>151</v>
      </c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54"/>
    </row>
    <row r="42" spans="1:73" s="6" customFormat="1" ht="17.25" customHeight="1">
      <c r="G42" s="7" t="s">
        <v>57</v>
      </c>
      <c r="H42" s="6" t="s">
        <v>58</v>
      </c>
    </row>
    <row r="43" spans="1:73" s="6" customFormat="1" ht="11.25">
      <c r="F43" s="7"/>
      <c r="G43" s="7" t="s">
        <v>59</v>
      </c>
      <c r="H43" s="6" t="s">
        <v>60</v>
      </c>
    </row>
    <row r="44" spans="1:73">
      <c r="B44" s="6"/>
      <c r="E44" s="153" t="s">
        <v>231</v>
      </c>
      <c r="F44" s="153"/>
      <c r="G44" s="153"/>
      <c r="H44" s="2" t="s">
        <v>232</v>
      </c>
    </row>
    <row r="45" spans="1:73" ht="27.75" customHeight="1">
      <c r="B45" s="2" t="s">
        <v>149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</row>
    <row r="46" spans="1:73" ht="24.75" customHeight="1"/>
    <row r="47" spans="1:73" ht="15" customHeight="1">
      <c r="A47" s="102" t="s">
        <v>63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</row>
    <row r="48" spans="1:73" ht="15" customHeight="1">
      <c r="A48" s="102" t="s">
        <v>150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</row>
    <row r="49" spans="1:44">
      <c r="A49" s="102" t="s">
        <v>147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</row>
  </sheetData>
  <mergeCells count="106">
    <mergeCell ref="BJ41:BT41"/>
    <mergeCell ref="A40:I40"/>
    <mergeCell ref="J40:BI40"/>
    <mergeCell ref="BJ40:BT40"/>
    <mergeCell ref="A37:I37"/>
    <mergeCell ref="J37:BI37"/>
    <mergeCell ref="BJ37:BT37"/>
    <mergeCell ref="A39:I39"/>
    <mergeCell ref="J39:BI39"/>
    <mergeCell ref="BJ39:BT39"/>
    <mergeCell ref="A38:I38"/>
    <mergeCell ref="J38:BI38"/>
    <mergeCell ref="BJ38:BT38"/>
    <mergeCell ref="J41:BI41"/>
    <mergeCell ref="BJ16:BT16"/>
    <mergeCell ref="A13:I13"/>
    <mergeCell ref="J13:BI13"/>
    <mergeCell ref="BJ13:BT13"/>
    <mergeCell ref="A12:I12"/>
    <mergeCell ref="J12:BI12"/>
    <mergeCell ref="BJ12:BT12"/>
    <mergeCell ref="A36:I36"/>
    <mergeCell ref="J36:BI36"/>
    <mergeCell ref="BJ36:BT36"/>
    <mergeCell ref="A35:I35"/>
    <mergeCell ref="A18:I18"/>
    <mergeCell ref="J18:BI18"/>
    <mergeCell ref="BJ18:BT18"/>
    <mergeCell ref="A17:I17"/>
    <mergeCell ref="J17:BI17"/>
    <mergeCell ref="BJ17:BT17"/>
    <mergeCell ref="A23:I23"/>
    <mergeCell ref="J23:BI23"/>
    <mergeCell ref="BJ23:BT23"/>
    <mergeCell ref="A8:AO8"/>
    <mergeCell ref="A7:AO7"/>
    <mergeCell ref="J34:BI34"/>
    <mergeCell ref="BJ34:BT34"/>
    <mergeCell ref="A28:I28"/>
    <mergeCell ref="J28:BI28"/>
    <mergeCell ref="BJ28:BT28"/>
    <mergeCell ref="A32:I32"/>
    <mergeCell ref="J32:BI32"/>
    <mergeCell ref="BJ32:BT32"/>
    <mergeCell ref="A31:I31"/>
    <mergeCell ref="J31:BI31"/>
    <mergeCell ref="BJ31:BT31"/>
    <mergeCell ref="A30:I30"/>
    <mergeCell ref="J30:BI30"/>
    <mergeCell ref="BJ30:BT30"/>
    <mergeCell ref="A33:I33"/>
    <mergeCell ref="J33:BI33"/>
    <mergeCell ref="BJ33:BT33"/>
    <mergeCell ref="A25:I25"/>
    <mergeCell ref="J25:BI25"/>
    <mergeCell ref="BJ25:BT25"/>
    <mergeCell ref="A24:I24"/>
    <mergeCell ref="J24:BI24"/>
    <mergeCell ref="A6:AO6"/>
    <mergeCell ref="A47:AR47"/>
    <mergeCell ref="A48:AR48"/>
    <mergeCell ref="A49:AR49"/>
    <mergeCell ref="A20:I20"/>
    <mergeCell ref="J20:BI20"/>
    <mergeCell ref="BJ20:BT20"/>
    <mergeCell ref="A19:I19"/>
    <mergeCell ref="J19:BI19"/>
    <mergeCell ref="BJ19:BT19"/>
    <mergeCell ref="A22:I22"/>
    <mergeCell ref="J22:BI22"/>
    <mergeCell ref="BJ22:BT22"/>
    <mergeCell ref="A21:I21"/>
    <mergeCell ref="J21:BI21"/>
    <mergeCell ref="BJ21:BT21"/>
    <mergeCell ref="A29:I29"/>
    <mergeCell ref="J29:BI29"/>
    <mergeCell ref="BJ29:BT29"/>
    <mergeCell ref="J35:BI35"/>
    <mergeCell ref="BJ35:BT35"/>
    <mergeCell ref="A34:I34"/>
    <mergeCell ref="BJ24:BT24"/>
    <mergeCell ref="A41:I41"/>
    <mergeCell ref="E44:G44"/>
    <mergeCell ref="BI1:BU1"/>
    <mergeCell ref="A3:BU3"/>
    <mergeCell ref="BI5:BU5"/>
    <mergeCell ref="BI6:BU6"/>
    <mergeCell ref="BI7:BU7"/>
    <mergeCell ref="BI8:BU8"/>
    <mergeCell ref="BI9:BU9"/>
    <mergeCell ref="A27:I27"/>
    <mergeCell ref="J27:BI27"/>
    <mergeCell ref="BJ27:BT27"/>
    <mergeCell ref="A26:I26"/>
    <mergeCell ref="J26:BI26"/>
    <mergeCell ref="BJ26:BT26"/>
    <mergeCell ref="A15:I15"/>
    <mergeCell ref="J15:BI15"/>
    <mergeCell ref="BJ15:BT15"/>
    <mergeCell ref="A16:I16"/>
    <mergeCell ref="J16:BI16"/>
    <mergeCell ref="A14:I14"/>
    <mergeCell ref="J14:BI14"/>
    <mergeCell ref="BJ14:BT14"/>
    <mergeCell ref="A9:AF9"/>
    <mergeCell ref="A5:AO5"/>
  </mergeCells>
  <pageMargins left="0.98425196850393704" right="0.39370078740157483" top="0.39370078740157483" bottom="0.3937007874015748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37"/>
  <sheetViews>
    <sheetView view="pageBreakPreview" topLeftCell="A7" zoomScale="74" zoomScaleNormal="74" zoomScaleSheetLayoutView="74" workbookViewId="0">
      <selection activeCell="G18" sqref="G18"/>
    </sheetView>
  </sheetViews>
  <sheetFormatPr defaultRowHeight="15"/>
  <cols>
    <col min="1" max="1" width="5.42578125" style="41" customWidth="1"/>
    <col min="2" max="2" width="103.140625" customWidth="1"/>
    <col min="3" max="3" width="31.5703125" customWidth="1"/>
    <col min="4" max="4" width="13.28515625" customWidth="1"/>
    <col min="5" max="5" width="12.5703125" customWidth="1"/>
    <col min="6" max="6" width="11.28515625" customWidth="1"/>
    <col min="7" max="7" width="15.42578125" customWidth="1"/>
    <col min="8" max="8" width="9.7109375" customWidth="1"/>
    <col min="9" max="9" width="12" customWidth="1"/>
  </cols>
  <sheetData>
    <row r="1" spans="1:16" ht="33.75" customHeight="1">
      <c r="E1" s="189" t="s">
        <v>219</v>
      </c>
      <c r="F1" s="189"/>
      <c r="G1" s="189"/>
      <c r="H1" s="189"/>
      <c r="I1" s="189"/>
      <c r="J1" s="16"/>
      <c r="K1" s="16"/>
      <c r="L1" s="16"/>
      <c r="M1" s="16"/>
      <c r="N1" s="16"/>
      <c r="O1" s="16"/>
      <c r="P1" s="16"/>
    </row>
    <row r="3" spans="1:16" ht="18.75">
      <c r="B3" s="53" t="s">
        <v>218</v>
      </c>
      <c r="C3" s="52"/>
      <c r="E3" s="35"/>
      <c r="F3" s="35"/>
      <c r="G3" s="35"/>
      <c r="H3" s="35"/>
      <c r="I3" s="35"/>
    </row>
    <row r="5" spans="1:16" s="25" customFormat="1" ht="22.5" customHeight="1">
      <c r="A5" s="192" t="s">
        <v>0</v>
      </c>
      <c r="B5" s="192" t="s">
        <v>159</v>
      </c>
      <c r="C5" s="192" t="s">
        <v>160</v>
      </c>
      <c r="D5" s="193" t="s">
        <v>211</v>
      </c>
      <c r="E5" s="196" t="s">
        <v>222</v>
      </c>
      <c r="F5" s="197"/>
      <c r="G5" s="197"/>
      <c r="H5" s="197"/>
      <c r="I5" s="198"/>
    </row>
    <row r="6" spans="1:16" s="25" customFormat="1" ht="19.5" customHeight="1">
      <c r="A6" s="192"/>
      <c r="B6" s="192"/>
      <c r="C6" s="192"/>
      <c r="D6" s="194"/>
      <c r="E6" s="192" t="s">
        <v>209</v>
      </c>
      <c r="F6" s="192"/>
      <c r="G6" s="192"/>
      <c r="H6" s="192"/>
      <c r="I6" s="192"/>
    </row>
    <row r="7" spans="1:16" s="25" customFormat="1" ht="82.5" customHeight="1">
      <c r="A7" s="192"/>
      <c r="B7" s="192"/>
      <c r="C7" s="192"/>
      <c r="D7" s="195"/>
      <c r="E7" s="37" t="s">
        <v>212</v>
      </c>
      <c r="F7" s="36" t="s">
        <v>37</v>
      </c>
      <c r="G7" s="38" t="s">
        <v>213</v>
      </c>
      <c r="H7" s="36" t="s">
        <v>34</v>
      </c>
      <c r="I7" s="36" t="s">
        <v>42</v>
      </c>
    </row>
    <row r="8" spans="1:16" s="2" customFormat="1" ht="12.7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</row>
    <row r="9" spans="1:16" s="2" customFormat="1" ht="17.25" customHeight="1">
      <c r="A9" s="26"/>
      <c r="B9" s="28" t="s">
        <v>161</v>
      </c>
      <c r="C9" s="26"/>
      <c r="D9" s="29">
        <f t="shared" ref="D9:I9" si="0">SUM(D10:D34)</f>
        <v>37.587999999999994</v>
      </c>
      <c r="E9" s="29">
        <f t="shared" si="0"/>
        <v>14.797396610169494</v>
      </c>
      <c r="F9" s="29">
        <f t="shared" si="0"/>
        <v>1.8160000000000003</v>
      </c>
      <c r="G9" s="29">
        <f t="shared" si="0"/>
        <v>9.7406779661016962</v>
      </c>
      <c r="H9" s="29">
        <f t="shared" si="0"/>
        <v>5.499762711864407</v>
      </c>
      <c r="I9" s="29">
        <f t="shared" si="0"/>
        <v>5.7341627118644043</v>
      </c>
      <c r="J9" s="19"/>
      <c r="K9" s="19"/>
    </row>
    <row r="10" spans="1:16" s="31" customFormat="1" ht="29.25" customHeight="1">
      <c r="A10" s="203">
        <v>1</v>
      </c>
      <c r="B10" s="30" t="s">
        <v>162</v>
      </c>
      <c r="C10" s="201" t="s">
        <v>163</v>
      </c>
      <c r="D10" s="202">
        <f>SUM(E10:I11)</f>
        <v>10.286</v>
      </c>
      <c r="E10" s="202">
        <f>10.286/1.18-0.0004</f>
        <v>8.7165491525423722</v>
      </c>
      <c r="F10" s="202"/>
      <c r="G10" s="202"/>
      <c r="H10" s="202"/>
      <c r="I10" s="202">
        <f>10.286-G10-F10-H10-E10</f>
        <v>1.5694508474576274</v>
      </c>
    </row>
    <row r="11" spans="1:16" s="31" customFormat="1" ht="28.5" customHeight="1">
      <c r="A11" s="204"/>
      <c r="B11" s="30" t="s">
        <v>164</v>
      </c>
      <c r="C11" s="201"/>
      <c r="D11" s="202"/>
      <c r="E11" s="202"/>
      <c r="F11" s="202"/>
      <c r="G11" s="202"/>
      <c r="H11" s="202"/>
      <c r="I11" s="202"/>
    </row>
    <row r="12" spans="1:16" s="2" customFormat="1" ht="25.5" customHeight="1">
      <c r="A12" s="39">
        <v>2</v>
      </c>
      <c r="B12" s="32" t="s">
        <v>165</v>
      </c>
      <c r="C12" s="27" t="s">
        <v>166</v>
      </c>
      <c r="D12" s="33">
        <f>SUM(E12:I12)</f>
        <v>7.6440000000000001</v>
      </c>
      <c r="E12" s="33"/>
      <c r="F12" s="33"/>
      <c r="G12" s="33">
        <f>7.644/1.18</f>
        <v>6.4779661016949159</v>
      </c>
      <c r="H12" s="33"/>
      <c r="I12" s="33">
        <f>7.644-G12-F12-H12-E12</f>
        <v>1.1660338983050842</v>
      </c>
    </row>
    <row r="13" spans="1:16" s="2" customFormat="1" ht="27" customHeight="1">
      <c r="A13" s="40">
        <v>3</v>
      </c>
      <c r="B13" s="34" t="s">
        <v>167</v>
      </c>
      <c r="C13" s="27" t="s">
        <v>168</v>
      </c>
      <c r="D13" s="33">
        <f t="shared" ref="D13:D21" si="1">SUM(E13:I13)</f>
        <v>0.4</v>
      </c>
      <c r="E13" s="33">
        <f>0.4/1.18</f>
        <v>0.33898305084745767</v>
      </c>
      <c r="F13" s="33"/>
      <c r="G13" s="33"/>
      <c r="H13" s="33"/>
      <c r="I13" s="33">
        <f>0.4-G13-F13-H13-E13</f>
        <v>6.1016949152542355E-2</v>
      </c>
    </row>
    <row r="14" spans="1:16" s="2" customFormat="1" ht="26.25" customHeight="1">
      <c r="A14" s="40">
        <v>4</v>
      </c>
      <c r="B14" s="34" t="s">
        <v>169</v>
      </c>
      <c r="C14" s="27" t="s">
        <v>170</v>
      </c>
      <c r="D14" s="33">
        <f t="shared" si="1"/>
        <v>0.4</v>
      </c>
      <c r="E14" s="33">
        <f>0.4/1.18</f>
        <v>0.33898305084745767</v>
      </c>
      <c r="F14" s="33"/>
      <c r="G14" s="33"/>
      <c r="H14" s="33"/>
      <c r="I14" s="33">
        <f>0.4-G14-F14-H14-E14</f>
        <v>6.1016949152542355E-2</v>
      </c>
    </row>
    <row r="15" spans="1:16" s="2" customFormat="1" ht="24" customHeight="1">
      <c r="A15" s="40">
        <v>5</v>
      </c>
      <c r="B15" s="34" t="s">
        <v>171</v>
      </c>
      <c r="C15" s="27" t="s">
        <v>172</v>
      </c>
      <c r="D15" s="33">
        <f t="shared" si="1"/>
        <v>0.4</v>
      </c>
      <c r="E15" s="33">
        <f>0.4/1.18</f>
        <v>0.33898305084745767</v>
      </c>
      <c r="F15" s="33"/>
      <c r="G15" s="33"/>
      <c r="H15" s="33"/>
      <c r="I15" s="33">
        <f>0.4-G15-F15-H15-E15</f>
        <v>6.1016949152542355E-2</v>
      </c>
    </row>
    <row r="16" spans="1:16" s="2" customFormat="1" ht="26.25" customHeight="1">
      <c r="A16" s="40">
        <v>6</v>
      </c>
      <c r="B16" s="34" t="s">
        <v>173</v>
      </c>
      <c r="C16" s="27" t="s">
        <v>174</v>
      </c>
      <c r="D16" s="33">
        <f t="shared" si="1"/>
        <v>0.8</v>
      </c>
      <c r="E16" s="33">
        <f>0.8/1.18</f>
        <v>0.67796610169491534</v>
      </c>
      <c r="F16" s="33"/>
      <c r="G16" s="33"/>
      <c r="H16" s="33"/>
      <c r="I16" s="33">
        <f>0.8-G16-F16-H16-E16</f>
        <v>0.12203389830508471</v>
      </c>
    </row>
    <row r="17" spans="1:9" s="2" customFormat="1" ht="26.25" customHeight="1">
      <c r="A17" s="40">
        <v>7</v>
      </c>
      <c r="B17" s="34" t="s">
        <v>175</v>
      </c>
      <c r="C17" s="27" t="s">
        <v>176</v>
      </c>
      <c r="D17" s="33">
        <f t="shared" si="1"/>
        <v>0.4</v>
      </c>
      <c r="E17" s="33">
        <f>0.4/1.18</f>
        <v>0.33898305084745767</v>
      </c>
      <c r="F17" s="33"/>
      <c r="G17" s="33"/>
      <c r="H17" s="33"/>
      <c r="I17" s="33">
        <f>0.4-G17-F17-H17-E17</f>
        <v>6.1016949152542355E-2</v>
      </c>
    </row>
    <row r="18" spans="1:9" s="2" customFormat="1" ht="42.75" customHeight="1">
      <c r="A18" s="40">
        <v>8</v>
      </c>
      <c r="B18" s="34" t="s">
        <v>177</v>
      </c>
      <c r="C18" s="27" t="s">
        <v>178</v>
      </c>
      <c r="D18" s="33">
        <f t="shared" si="1"/>
        <v>3.85</v>
      </c>
      <c r="E18" s="33"/>
      <c r="F18" s="33"/>
      <c r="G18" s="33">
        <f>3.85/1.18</f>
        <v>3.2627118644067798</v>
      </c>
      <c r="H18" s="33"/>
      <c r="I18" s="33">
        <f>3.85-G18</f>
        <v>0.58728813559322024</v>
      </c>
    </row>
    <row r="19" spans="1:9" s="2" customFormat="1" ht="17.25" customHeight="1">
      <c r="A19" s="40">
        <v>9</v>
      </c>
      <c r="B19" s="34" t="s">
        <v>210</v>
      </c>
      <c r="C19" s="27" t="s">
        <v>179</v>
      </c>
      <c r="D19" s="33">
        <f t="shared" si="1"/>
        <v>0.217</v>
      </c>
      <c r="E19" s="33"/>
      <c r="F19" s="33">
        <f>0.217/1.18</f>
        <v>0.18389830508474578</v>
      </c>
      <c r="G19" s="33"/>
      <c r="H19" s="33"/>
      <c r="I19" s="33">
        <f>0.217-G19-F19-H19-E19</f>
        <v>3.3101694915254221E-2</v>
      </c>
    </row>
    <row r="20" spans="1:9" s="2" customFormat="1" ht="17.25" customHeight="1">
      <c r="A20" s="40">
        <v>10</v>
      </c>
      <c r="B20" s="34" t="s">
        <v>180</v>
      </c>
      <c r="C20" s="27" t="s">
        <v>181</v>
      </c>
      <c r="D20" s="33">
        <f t="shared" si="1"/>
        <v>0.217</v>
      </c>
      <c r="E20" s="33"/>
      <c r="F20" s="33">
        <f>0.217/1.18</f>
        <v>0.18389830508474578</v>
      </c>
      <c r="G20" s="33"/>
      <c r="H20" s="33"/>
      <c r="I20" s="33">
        <f>0.217-G20-F20-H20-E20</f>
        <v>3.3101694915254221E-2</v>
      </c>
    </row>
    <row r="21" spans="1:9" s="2" customFormat="1" ht="17.25" customHeight="1">
      <c r="A21" s="40">
        <v>11</v>
      </c>
      <c r="B21" s="34" t="s">
        <v>182</v>
      </c>
      <c r="C21" s="27" t="s">
        <v>183</v>
      </c>
      <c r="D21" s="33">
        <f t="shared" si="1"/>
        <v>0.21700000000000003</v>
      </c>
      <c r="E21" s="33">
        <f>0.217/1.18-0.016</f>
        <v>0.16789830508474579</v>
      </c>
      <c r="F21" s="33">
        <v>1.6E-2</v>
      </c>
      <c r="G21" s="33"/>
      <c r="H21" s="33"/>
      <c r="I21" s="33">
        <f>0.217-G21-F21-H21-E21</f>
        <v>3.3101694915254221E-2</v>
      </c>
    </row>
    <row r="22" spans="1:9" s="2" customFormat="1" ht="17.25" customHeight="1">
      <c r="A22" s="40">
        <v>12</v>
      </c>
      <c r="B22" s="34" t="s">
        <v>184</v>
      </c>
      <c r="C22" s="27" t="s">
        <v>185</v>
      </c>
      <c r="D22" s="33">
        <f>SUM(E22:I22)</f>
        <v>0.78</v>
      </c>
      <c r="E22" s="33">
        <f>0.78/1.18</f>
        <v>0.66101694915254239</v>
      </c>
      <c r="F22" s="33"/>
      <c r="G22" s="33"/>
      <c r="H22" s="33"/>
      <c r="I22" s="33">
        <f>0.78-G22-F22-H22-E22</f>
        <v>0.11898305084745764</v>
      </c>
    </row>
    <row r="23" spans="1:9" s="2" customFormat="1" ht="17.25" customHeight="1">
      <c r="A23" s="40">
        <v>13</v>
      </c>
      <c r="B23" s="34" t="s">
        <v>186</v>
      </c>
      <c r="C23" s="27" t="s">
        <v>187</v>
      </c>
      <c r="D23" s="33">
        <f>SUM(E23:I23)</f>
        <v>0.78</v>
      </c>
      <c r="E23" s="33">
        <f>0.78/1.18</f>
        <v>0.66101694915254239</v>
      </c>
      <c r="F23" s="33"/>
      <c r="G23" s="33"/>
      <c r="H23" s="33"/>
      <c r="I23" s="33">
        <f>0.78-G23-F23-H23-E23</f>
        <v>0.11898305084745764</v>
      </c>
    </row>
    <row r="24" spans="1:9" s="2" customFormat="1" ht="24.75" customHeight="1">
      <c r="A24" s="40">
        <v>14</v>
      </c>
      <c r="B24" s="34" t="s">
        <v>188</v>
      </c>
      <c r="C24" s="27" t="s">
        <v>189</v>
      </c>
      <c r="D24" s="33">
        <f t="shared" ref="D24:D31" si="2">SUM(E24:I24)</f>
        <v>0.5</v>
      </c>
      <c r="E24" s="33"/>
      <c r="F24" s="33">
        <f>0.5/1.18</f>
        <v>0.42372881355932207</v>
      </c>
      <c r="G24" s="33"/>
      <c r="H24" s="33"/>
      <c r="I24" s="33">
        <f>0.5-G24-F24-H24-E24</f>
        <v>7.6271186440677929E-2</v>
      </c>
    </row>
    <row r="25" spans="1:9" s="2" customFormat="1" ht="17.25" customHeight="1">
      <c r="A25" s="40">
        <v>15</v>
      </c>
      <c r="B25" s="32" t="s">
        <v>190</v>
      </c>
      <c r="C25" s="27" t="s">
        <v>191</v>
      </c>
      <c r="D25" s="33">
        <f t="shared" si="2"/>
        <v>0.11600000000000001</v>
      </c>
      <c r="E25" s="33"/>
      <c r="F25" s="33">
        <f>0.116/1.18</f>
        <v>9.8305084745762716E-2</v>
      </c>
      <c r="G25" s="33"/>
      <c r="H25" s="33"/>
      <c r="I25" s="33">
        <f>0.116-G25-F25-H25-E25</f>
        <v>1.769491525423729E-2</v>
      </c>
    </row>
    <row r="26" spans="1:9" s="2" customFormat="1" ht="27" customHeight="1">
      <c r="A26" s="40">
        <v>16</v>
      </c>
      <c r="B26" s="32" t="s">
        <v>192</v>
      </c>
      <c r="C26" s="27" t="s">
        <v>193</v>
      </c>
      <c r="D26" s="33">
        <f t="shared" si="2"/>
        <v>0.16</v>
      </c>
      <c r="E26" s="33"/>
      <c r="F26" s="33">
        <f>0.16/1.18</f>
        <v>0.13559322033898305</v>
      </c>
      <c r="G26" s="33"/>
      <c r="H26" s="33"/>
      <c r="I26" s="33">
        <f>0.16-G26-F26-H26-E26</f>
        <v>2.4406779661016953E-2</v>
      </c>
    </row>
    <row r="27" spans="1:9" s="2" customFormat="1" ht="17.25" customHeight="1">
      <c r="A27" s="40">
        <v>17</v>
      </c>
      <c r="B27" s="32" t="s">
        <v>194</v>
      </c>
      <c r="C27" s="27" t="s">
        <v>195</v>
      </c>
      <c r="D27" s="33">
        <f t="shared" si="2"/>
        <v>7.0000000000000007E-2</v>
      </c>
      <c r="E27" s="33"/>
      <c r="F27" s="33">
        <f>0.07/1.18</f>
        <v>5.9322033898305093E-2</v>
      </c>
      <c r="G27" s="33"/>
      <c r="H27" s="33"/>
      <c r="I27" s="33">
        <f>0.07-G27-F27-H27-E27</f>
        <v>1.0677966101694913E-2</v>
      </c>
    </row>
    <row r="28" spans="1:9" s="2" customFormat="1" ht="17.25" customHeight="1">
      <c r="A28" s="40">
        <v>18</v>
      </c>
      <c r="B28" s="32" t="s">
        <v>196</v>
      </c>
      <c r="C28" s="27" t="s">
        <v>197</v>
      </c>
      <c r="D28" s="33">
        <f t="shared" si="2"/>
        <v>8.4000000000000005E-2</v>
      </c>
      <c r="E28" s="33"/>
      <c r="F28" s="33">
        <f>0.084/1.18</f>
        <v>7.1186440677966104E-2</v>
      </c>
      <c r="G28" s="33"/>
      <c r="H28" s="33"/>
      <c r="I28" s="33">
        <f>0.084-G28-F28-H28-E28</f>
        <v>1.2813559322033902E-2</v>
      </c>
    </row>
    <row r="29" spans="1:9" s="2" customFormat="1" ht="18" customHeight="1">
      <c r="A29" s="40">
        <v>19</v>
      </c>
      <c r="B29" s="34" t="s">
        <v>198</v>
      </c>
      <c r="C29" s="27" t="s">
        <v>199</v>
      </c>
      <c r="D29" s="33">
        <f t="shared" si="2"/>
        <v>0.16</v>
      </c>
      <c r="E29" s="33"/>
      <c r="F29" s="33">
        <f>0.16/1.18</f>
        <v>0.13559322033898305</v>
      </c>
      <c r="G29" s="33"/>
      <c r="H29" s="33"/>
      <c r="I29" s="33">
        <f>0.16-G29-F29-H29-E29</f>
        <v>2.4406779661016953E-2</v>
      </c>
    </row>
    <row r="30" spans="1:9" s="2" customFormat="1" ht="29.25" customHeight="1">
      <c r="A30" s="40">
        <v>20</v>
      </c>
      <c r="B30" s="34" t="s">
        <v>200</v>
      </c>
      <c r="C30" s="27" t="s">
        <v>201</v>
      </c>
      <c r="D30" s="33">
        <f t="shared" si="2"/>
        <v>0.16</v>
      </c>
      <c r="E30" s="33"/>
      <c r="F30" s="33">
        <f>0.16/1.18</f>
        <v>0.13559322033898305</v>
      </c>
      <c r="G30" s="33"/>
      <c r="H30" s="33"/>
      <c r="I30" s="33">
        <f>0.16-G30-F30-H30-E30</f>
        <v>2.4406779661016953E-2</v>
      </c>
    </row>
    <row r="31" spans="1:9" s="2" customFormat="1" ht="27.75" customHeight="1">
      <c r="A31" s="40">
        <v>21</v>
      </c>
      <c r="B31" s="34" t="s">
        <v>202</v>
      </c>
      <c r="C31" s="27" t="s">
        <v>203</v>
      </c>
      <c r="D31" s="33">
        <f t="shared" si="2"/>
        <v>0.44</v>
      </c>
      <c r="E31" s="33"/>
      <c r="F31" s="33">
        <f>0.44/1.18</f>
        <v>0.3728813559322034</v>
      </c>
      <c r="G31" s="33"/>
      <c r="H31" s="33"/>
      <c r="I31" s="33">
        <f>0.44-G31-F31-H31-E31</f>
        <v>6.7118644067796607E-2</v>
      </c>
    </row>
    <row r="32" spans="1:9" s="2" customFormat="1" ht="17.25" customHeight="1">
      <c r="A32" s="40">
        <v>22</v>
      </c>
      <c r="B32" s="34" t="s">
        <v>204</v>
      </c>
      <c r="C32" s="27" t="s">
        <v>205</v>
      </c>
      <c r="D32" s="33">
        <f>SUM(E32:I32)</f>
        <v>0.67400000000000004</v>
      </c>
      <c r="E32" s="33">
        <f>0.674/1.18</f>
        <v>0.5711864406779662</v>
      </c>
      <c r="F32" s="33"/>
      <c r="G32" s="33"/>
      <c r="H32" s="33"/>
      <c r="I32" s="33">
        <f>0.674-G32-F32-H32-E32</f>
        <v>0.10281355932203384</v>
      </c>
    </row>
    <row r="33" spans="1:46" s="2" customFormat="1" ht="17.25" customHeight="1">
      <c r="A33" s="40">
        <v>23</v>
      </c>
      <c r="B33" s="34" t="s">
        <v>206</v>
      </c>
      <c r="C33" s="27" t="s">
        <v>207</v>
      </c>
      <c r="D33" s="33">
        <f>SUM(E33:I33)</f>
        <v>2.1120000000000001</v>
      </c>
      <c r="E33" s="33">
        <f>2.112/1.18</f>
        <v>1.7898305084745765</v>
      </c>
      <c r="F33" s="33"/>
      <c r="G33" s="33"/>
      <c r="H33" s="33"/>
      <c r="I33" s="33">
        <f>2.112-G33-F33-H33-E33</f>
        <v>0.32216949152542362</v>
      </c>
    </row>
    <row r="34" spans="1:46" s="44" customFormat="1" ht="17.25" customHeight="1">
      <c r="A34" s="40">
        <v>24</v>
      </c>
      <c r="B34" s="30" t="s">
        <v>220</v>
      </c>
      <c r="C34" s="40" t="s">
        <v>208</v>
      </c>
      <c r="D34" s="43">
        <f>SUM(E34:I34)</f>
        <v>6.7210000000000001</v>
      </c>
      <c r="E34" s="43">
        <v>0.19600000000000001</v>
      </c>
      <c r="F34" s="43"/>
      <c r="G34" s="43"/>
      <c r="H34" s="43">
        <f>6.721/1.18-E34</f>
        <v>5.499762711864407</v>
      </c>
      <c r="I34" s="43">
        <f>6.721-G34-F34-H34-E34</f>
        <v>1.0252372881355931</v>
      </c>
    </row>
    <row r="35" spans="1:46" ht="33.75" customHeight="1">
      <c r="A35" s="41" t="s">
        <v>57</v>
      </c>
      <c r="B35" s="190" t="s">
        <v>221</v>
      </c>
      <c r="C35" s="190"/>
      <c r="D35" s="190"/>
      <c r="E35" s="190"/>
      <c r="F35" s="190"/>
      <c r="G35" s="190"/>
      <c r="H35" s="190"/>
      <c r="I35" s="190"/>
    </row>
    <row r="36" spans="1:46">
      <c r="B36" s="191"/>
      <c r="C36" s="191"/>
      <c r="D36" s="191"/>
      <c r="E36" s="191"/>
      <c r="F36" s="191"/>
      <c r="G36" s="191"/>
      <c r="H36" s="191"/>
      <c r="I36" s="191"/>
    </row>
    <row r="37" spans="1:46" s="45" customFormat="1" ht="37.5" customHeight="1">
      <c r="A37" s="200" t="s">
        <v>215</v>
      </c>
      <c r="B37" s="200"/>
      <c r="C37" s="47"/>
      <c r="D37" s="46"/>
      <c r="E37" s="48"/>
      <c r="F37" s="49" t="s">
        <v>214</v>
      </c>
      <c r="G37" s="50"/>
      <c r="H37" s="50"/>
      <c r="J37" s="50"/>
      <c r="L37" s="48"/>
      <c r="M37" s="48"/>
      <c r="N37" s="48"/>
      <c r="O37" s="48"/>
      <c r="P37" s="48"/>
      <c r="Q37" s="48"/>
      <c r="R37" s="199"/>
      <c r="S37" s="199"/>
      <c r="T37" s="48"/>
      <c r="U37" s="48"/>
      <c r="V37" s="48"/>
      <c r="Y37" s="48"/>
      <c r="Z37" s="48"/>
      <c r="AA37" s="48"/>
      <c r="AB37" s="48"/>
      <c r="AC37" s="48"/>
      <c r="AD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</row>
  </sheetData>
  <mergeCells count="18">
    <mergeCell ref="R37:S37"/>
    <mergeCell ref="A37:B37"/>
    <mergeCell ref="A5:A7"/>
    <mergeCell ref="C10:C11"/>
    <mergeCell ref="D10:D11"/>
    <mergeCell ref="E10:E11"/>
    <mergeCell ref="E6:I6"/>
    <mergeCell ref="G10:G11"/>
    <mergeCell ref="H10:H11"/>
    <mergeCell ref="F10:F11"/>
    <mergeCell ref="I10:I11"/>
    <mergeCell ref="A10:A11"/>
    <mergeCell ref="E1:I1"/>
    <mergeCell ref="B35:I36"/>
    <mergeCell ref="B5:B7"/>
    <mergeCell ref="C5:C7"/>
    <mergeCell ref="D5:D7"/>
    <mergeCell ref="E5:I5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4.1.</vt:lpstr>
      <vt:lpstr>таблица 4.2.</vt:lpstr>
      <vt:lpstr>Расшифровка мероприятий </vt:lpstr>
      <vt:lpstr>'Расшифровка мероприятий '!Область_печати</vt:lpstr>
      <vt:lpstr>'таблица 4.2.'!Область_печати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Синтонен Сергей Сергеевич</dc:creator>
  <cp:lastModifiedBy>Вера Васильевна Ульянкова</cp:lastModifiedBy>
  <cp:lastPrinted>2017-06-07T13:14:10Z</cp:lastPrinted>
  <dcterms:created xsi:type="dcterms:W3CDTF">2013-02-08T07:51:46Z</dcterms:created>
  <dcterms:modified xsi:type="dcterms:W3CDTF">2017-06-07T13:32:48Z</dcterms:modified>
</cp:coreProperties>
</file>