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20г" sheetId="1" r:id="rId1"/>
  </sheets>
  <definedNames>
    <definedName name="_xlnm.Print_Area" localSheetId="0">'Баланс 2020г'!$A$1:$N$32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<sst xmlns="http://schemas.openxmlformats.org/spreadsheetml/2006/main" count="45" uniqueCount="37">
  <si>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</si>
  <si>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</si>
  <si>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</si>
  <si>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</si>
  <si>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</si>
  <si>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</si>
  <si>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</si>
  <si>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</si>
  <si>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</si>
  <si>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</si>
  <si>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</si>
  <si>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</si>
  <si>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</si>
  <si>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</si>
  <si>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</si>
  <si>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</si>
  <si>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</si>
  <si>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</si>
  <si>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</si>
  <si>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</si>
  <si>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</si>
  <si>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</si>
  <si>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</si>
  <si>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</si>
  <si>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</si>
  <si>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</si>
  <si>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</si>
  <si>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</si>
  <si>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</si>
  <si>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Акционерное общество  "Мурманэнергосбыт"</t>
  </si>
  <si>
    <t>в т.ч. СН-1 (кВтч)</t>
  </si>
  <si>
    <t>в т.ч. СН-2 (кВтч)</t>
  </si>
  <si>
    <t>в т.ч. НН (кВтч)</t>
  </si>
  <si>
    <t>Форма №  2</t>
  </si>
  <si>
    <t>БАЛАНС  ЭЛЕКТРИЧЕСКОЙ  ЭНЕРГИИ    2020  ГОД</t>
  </si>
  <si>
    <t>Факт 2020г</t>
  </si>
  <si>
    <t>2020г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</si>
</sst>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indent="4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7" fillId="35" borderId="13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3" fillId="35" borderId="16" xfId="0" applyNumberFormat="1" applyFont="1" applyFill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190" fontId="2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7"/>
  <sheetViews>
    <sheetView tabSelected="1" view="pageBreakPreview" zoomScaleNormal="75"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0" sqref="J30"/>
    </sheetView>
  </sheetViews>
  <sheetFormatPr defaultColWidth="9.140625" defaultRowHeight="15" outlineLevelRow="1"/>
  <cols>
    <col min="1" max="1" width="54.8515625" style="0" customWidth="1"/>
    <col min="2" max="2" width="17.57421875" style="0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5" max="16" width="13.28125" style="0" bestFit="1" customWidth="1"/>
    <col min="17" max="17" width="14.140625" style="0" customWidth="1"/>
    <col min="18" max="18" width="10.8515625" style="0" bestFit="1" customWidth="1"/>
  </cols>
  <sheetData>
    <row r="1" spans="1:14" ht="41.25" customHeight="1">
      <c r="A1" s="40" t="s">
        <v>29</v>
      </c>
      <c r="B1" s="40"/>
      <c r="C1" s="40"/>
      <c r="D1" s="40"/>
      <c r="E1" s="1"/>
      <c r="F1" s="1"/>
      <c r="G1" s="1"/>
      <c r="H1" s="1"/>
      <c r="I1" s="1"/>
      <c r="J1" s="1"/>
      <c r="K1" s="30" t="s">
        <v>33</v>
      </c>
      <c r="L1" s="1"/>
      <c r="M1" s="1"/>
      <c r="N1" s="1"/>
    </row>
    <row r="2" spans="1:14" ht="62.25" customHeight="1">
      <c r="A2" s="41" t="s">
        <v>34</v>
      </c>
      <c r="B2" s="41"/>
      <c r="C2" s="41"/>
      <c r="D2" s="41"/>
      <c r="E2" s="41"/>
      <c r="F2" s="41"/>
      <c r="G2" s="41"/>
      <c r="H2" s="41"/>
      <c r="I2" s="1"/>
      <c r="J2" s="1"/>
      <c r="K2" s="1"/>
      <c r="L2" s="1"/>
      <c r="M2" s="2"/>
      <c r="N2" s="2"/>
    </row>
    <row r="3" spans="1:14" ht="19.5" thickBot="1">
      <c r="A3" s="3"/>
      <c r="B3" s="2">
        <f>B7-B11</f>
        <v>11792258</v>
      </c>
      <c r="C3" s="2">
        <f aca="true" t="shared" si="0" ref="C3:M3">C7-C11</f>
        <v>11092319</v>
      </c>
      <c r="D3" s="2">
        <f t="shared" si="0"/>
        <v>11028598</v>
      </c>
      <c r="E3" s="2">
        <f t="shared" si="0"/>
        <v>9659461</v>
      </c>
      <c r="F3" s="2">
        <f t="shared" si="0"/>
        <v>8728993</v>
      </c>
      <c r="G3" s="2">
        <f t="shared" si="0"/>
        <v>8077722</v>
      </c>
      <c r="H3" s="2">
        <f t="shared" si="0"/>
        <v>7924476</v>
      </c>
      <c r="I3" s="2">
        <f t="shared" si="0"/>
        <v>8675552</v>
      </c>
      <c r="J3" s="2">
        <f t="shared" si="0"/>
        <v>8767951</v>
      </c>
      <c r="K3" s="2">
        <f t="shared" si="0"/>
        <v>9820322</v>
      </c>
      <c r="L3" s="2">
        <f t="shared" si="0"/>
        <v>10551407</v>
      </c>
      <c r="M3" s="2">
        <f t="shared" si="0"/>
        <v>11977328</v>
      </c>
      <c r="N3" s="2">
        <f>SUM(B3:M3)</f>
        <v>118096387</v>
      </c>
    </row>
    <row r="4" spans="1:14" ht="36.75" customHeight="1">
      <c r="A4" s="42" t="s">
        <v>21</v>
      </c>
      <c r="B4" s="44" t="s">
        <v>35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7.5" customHeight="1">
      <c r="A5" s="43"/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6" t="s">
        <v>36</v>
      </c>
    </row>
    <row r="6" spans="1:14" ht="15.75" customHeight="1">
      <c r="A6" s="7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8" ht="19.5" customHeight="1">
      <c r="A7" s="20" t="s">
        <v>25</v>
      </c>
      <c r="B7" s="26">
        <f>B8+B9+B10</f>
        <v>11878551</v>
      </c>
      <c r="C7" s="26">
        <f aca="true" t="shared" si="1" ref="C7:M7">C8+C9+C10</f>
        <v>11181759</v>
      </c>
      <c r="D7" s="26">
        <f t="shared" si="1"/>
        <v>11101552</v>
      </c>
      <c r="E7" s="26">
        <f t="shared" si="1"/>
        <v>9722498</v>
      </c>
      <c r="F7" s="26">
        <f t="shared" si="1"/>
        <v>8778795</v>
      </c>
      <c r="G7" s="26">
        <f t="shared" si="1"/>
        <v>8097538</v>
      </c>
      <c r="H7" s="26">
        <f t="shared" si="1"/>
        <v>7939585</v>
      </c>
      <c r="I7" s="26">
        <f t="shared" si="1"/>
        <v>8692813</v>
      </c>
      <c r="J7" s="26">
        <f t="shared" si="1"/>
        <v>8804341</v>
      </c>
      <c r="K7" s="26">
        <f t="shared" si="1"/>
        <v>9872578</v>
      </c>
      <c r="L7" s="26">
        <f t="shared" si="1"/>
        <v>10619799</v>
      </c>
      <c r="M7" s="26">
        <f t="shared" si="1"/>
        <v>12053331</v>
      </c>
      <c r="N7" s="9">
        <f aca="true" t="shared" si="2" ref="N7:N19">SUM(B7:M7)</f>
        <v>118743140</v>
      </c>
      <c r="P7" s="31"/>
      <c r="Q7" s="31"/>
      <c r="R7" s="31"/>
    </row>
    <row r="8" spans="1:17" ht="19.5" customHeight="1" outlineLevel="1">
      <c r="A8" s="21" t="s">
        <v>19</v>
      </c>
      <c r="B8" s="10">
        <v>7264853</v>
      </c>
      <c r="C8" s="10">
        <v>6967995</v>
      </c>
      <c r="D8" s="10">
        <v>6912706</v>
      </c>
      <c r="E8" s="10">
        <v>6080109</v>
      </c>
      <c r="F8" s="10">
        <v>5578541</v>
      </c>
      <c r="G8" s="10">
        <v>5043735</v>
      </c>
      <c r="H8" s="10">
        <v>5112081</v>
      </c>
      <c r="I8" s="10">
        <v>5533530</v>
      </c>
      <c r="J8" s="10">
        <v>5675321</v>
      </c>
      <c r="K8" s="10">
        <v>6253302</v>
      </c>
      <c r="L8" s="10">
        <v>6728724</v>
      </c>
      <c r="M8" s="10">
        <v>7572521</v>
      </c>
      <c r="N8" s="8">
        <f t="shared" si="2"/>
        <v>74723418</v>
      </c>
      <c r="Q8" s="31"/>
    </row>
    <row r="9" spans="1:15" ht="19.5" customHeight="1" outlineLevel="1">
      <c r="A9" s="21" t="s">
        <v>22</v>
      </c>
      <c r="B9" s="10">
        <v>4563307</v>
      </c>
      <c r="C9" s="10">
        <v>4154080</v>
      </c>
      <c r="D9" s="10">
        <v>4144371</v>
      </c>
      <c r="E9" s="10">
        <v>3589788</v>
      </c>
      <c r="F9" s="10">
        <v>3156324</v>
      </c>
      <c r="G9" s="10">
        <v>3010794</v>
      </c>
      <c r="H9" s="10">
        <v>2793983</v>
      </c>
      <c r="I9" s="10">
        <v>3114010</v>
      </c>
      <c r="J9" s="10">
        <v>3087151</v>
      </c>
      <c r="K9" s="10">
        <v>3578602</v>
      </c>
      <c r="L9" s="10">
        <v>3841870</v>
      </c>
      <c r="M9" s="10">
        <v>4432886</v>
      </c>
      <c r="N9" s="8">
        <f t="shared" si="2"/>
        <v>43467166</v>
      </c>
      <c r="O9" s="31"/>
    </row>
    <row r="10" spans="1:14" ht="19.5" customHeight="1" outlineLevel="1">
      <c r="A10" s="21" t="s">
        <v>0</v>
      </c>
      <c r="B10" s="10">
        <v>50391</v>
      </c>
      <c r="C10" s="10">
        <v>59684</v>
      </c>
      <c r="D10" s="10">
        <v>44475</v>
      </c>
      <c r="E10" s="10">
        <v>52601</v>
      </c>
      <c r="F10" s="10">
        <v>43930</v>
      </c>
      <c r="G10" s="10">
        <v>43009</v>
      </c>
      <c r="H10" s="10">
        <v>33521</v>
      </c>
      <c r="I10" s="10">
        <v>45273</v>
      </c>
      <c r="J10" s="10">
        <v>41869</v>
      </c>
      <c r="K10" s="10">
        <v>40674</v>
      </c>
      <c r="L10" s="10">
        <v>49205</v>
      </c>
      <c r="M10" s="10">
        <v>47924</v>
      </c>
      <c r="N10" s="8">
        <f t="shared" si="2"/>
        <v>552556</v>
      </c>
    </row>
    <row r="11" spans="1:17" ht="19.5" customHeight="1" outlineLevel="1">
      <c r="A11" s="22" t="s">
        <v>24</v>
      </c>
      <c r="B11" s="27">
        <f>SUM(B12:B15)</f>
        <v>86293</v>
      </c>
      <c r="C11" s="27">
        <f aca="true" t="shared" si="3" ref="C11:M11">SUM(C12:C15)</f>
        <v>89440</v>
      </c>
      <c r="D11" s="27">
        <f t="shared" si="3"/>
        <v>72954</v>
      </c>
      <c r="E11" s="27">
        <f t="shared" si="3"/>
        <v>63037</v>
      </c>
      <c r="F11" s="27">
        <f t="shared" si="3"/>
        <v>49802</v>
      </c>
      <c r="G11" s="27">
        <f t="shared" si="3"/>
        <v>19816</v>
      </c>
      <c r="H11" s="27">
        <f t="shared" si="3"/>
        <v>15109</v>
      </c>
      <c r="I11" s="27">
        <f t="shared" si="3"/>
        <v>17261</v>
      </c>
      <c r="J11" s="27">
        <f t="shared" si="3"/>
        <v>36390</v>
      </c>
      <c r="K11" s="27">
        <f t="shared" si="3"/>
        <v>52256</v>
      </c>
      <c r="L11" s="27">
        <f t="shared" si="3"/>
        <v>68392</v>
      </c>
      <c r="M11" s="27">
        <f t="shared" si="3"/>
        <v>76003</v>
      </c>
      <c r="N11" s="9">
        <f>SUM(N12:N15)</f>
        <v>646753</v>
      </c>
      <c r="O11" s="31"/>
      <c r="P11" s="31"/>
      <c r="Q11" s="31"/>
    </row>
    <row r="12" spans="1:14" ht="19.5" customHeight="1" outlineLevel="1">
      <c r="A12" s="21" t="s">
        <v>19</v>
      </c>
      <c r="B12" s="10">
        <v>77883</v>
      </c>
      <c r="C12" s="10">
        <v>82809</v>
      </c>
      <c r="D12" s="10">
        <v>65718</v>
      </c>
      <c r="E12" s="10">
        <v>56119</v>
      </c>
      <c r="F12" s="10">
        <v>43935</v>
      </c>
      <c r="G12" s="10">
        <v>17472</v>
      </c>
      <c r="H12" s="10">
        <v>12427</v>
      </c>
      <c r="I12" s="10">
        <v>14581</v>
      </c>
      <c r="J12" s="10">
        <v>33092</v>
      </c>
      <c r="K12" s="10">
        <v>45120</v>
      </c>
      <c r="L12" s="10">
        <v>60770</v>
      </c>
      <c r="M12" s="10">
        <v>69478</v>
      </c>
      <c r="N12" s="8">
        <f t="shared" si="2"/>
        <v>579404</v>
      </c>
    </row>
    <row r="13" spans="1:14" ht="19.5" customHeight="1" outlineLevel="1">
      <c r="A13" s="21" t="s">
        <v>22</v>
      </c>
      <c r="B13" s="10">
        <v>8410</v>
      </c>
      <c r="C13" s="10">
        <v>6631</v>
      </c>
      <c r="D13" s="10">
        <v>7236</v>
      </c>
      <c r="E13" s="10">
        <v>6918</v>
      </c>
      <c r="F13" s="10">
        <v>5867</v>
      </c>
      <c r="G13" s="10">
        <v>2336</v>
      </c>
      <c r="H13" s="10">
        <v>2676</v>
      </c>
      <c r="I13" s="10">
        <v>2680</v>
      </c>
      <c r="J13" s="10">
        <v>3298</v>
      </c>
      <c r="K13" s="10">
        <v>7136</v>
      </c>
      <c r="L13" s="10">
        <v>7622</v>
      </c>
      <c r="M13" s="10">
        <v>6525</v>
      </c>
      <c r="N13" s="8">
        <f t="shared" si="2"/>
        <v>67335</v>
      </c>
    </row>
    <row r="14" spans="1:14" ht="19.5" customHeight="1" outlineLevel="1">
      <c r="A14" s="21" t="s">
        <v>0</v>
      </c>
      <c r="B14" s="10"/>
      <c r="C14" s="10"/>
      <c r="D14" s="10"/>
      <c r="E14" s="10"/>
      <c r="F14" s="10"/>
      <c r="G14" s="10">
        <v>8</v>
      </c>
      <c r="H14" s="10">
        <v>6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8">
        <f t="shared" si="2"/>
        <v>14</v>
      </c>
    </row>
    <row r="15" spans="1:14" ht="19.5" customHeight="1" outlineLevel="1">
      <c r="A15" s="21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2"/>
        <v>0</v>
      </c>
    </row>
    <row r="16" spans="1:14" ht="19.5" customHeight="1">
      <c r="A16" s="23" t="s">
        <v>20</v>
      </c>
      <c r="B16" s="11">
        <f>+B18+B19+B20+B21+B22+B23</f>
        <v>10445236</v>
      </c>
      <c r="C16" s="11">
        <f aca="true" t="shared" si="4" ref="C16:M16">+C18+C19+C20+C21+C22+C23</f>
        <v>9943464</v>
      </c>
      <c r="D16" s="11">
        <f t="shared" si="4"/>
        <v>10102097</v>
      </c>
      <c r="E16" s="11">
        <f t="shared" si="4"/>
        <v>8469152</v>
      </c>
      <c r="F16" s="11">
        <f t="shared" si="4"/>
        <v>7657776</v>
      </c>
      <c r="G16" s="11">
        <f t="shared" si="4"/>
        <v>7527401</v>
      </c>
      <c r="H16" s="11">
        <f t="shared" si="4"/>
        <v>7145525</v>
      </c>
      <c r="I16" s="11">
        <f t="shared" si="4"/>
        <v>7318693</v>
      </c>
      <c r="J16" s="11">
        <f t="shared" si="4"/>
        <v>8669839</v>
      </c>
      <c r="K16" s="11">
        <f t="shared" si="4"/>
        <v>8243165</v>
      </c>
      <c r="L16" s="11">
        <f t="shared" si="4"/>
        <v>9121125</v>
      </c>
      <c r="M16" s="11">
        <f t="shared" si="4"/>
        <v>9855851</v>
      </c>
      <c r="N16" s="8">
        <f t="shared" si="2"/>
        <v>104499324</v>
      </c>
    </row>
    <row r="17" spans="1:14" ht="19.5" customHeight="1">
      <c r="A17" s="24" t="s">
        <v>26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8">
        <f t="shared" si="2"/>
        <v>0</v>
      </c>
    </row>
    <row r="18" spans="1:14" ht="19.5" customHeight="1">
      <c r="A18" s="21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>
        <f aca="true" t="shared" si="5" ref="N18:N23">SUM(B18:M18)</f>
        <v>0</v>
      </c>
    </row>
    <row r="19" spans="1:14" ht="19.5" customHeight="1">
      <c r="A19" s="21" t="s">
        <v>22</v>
      </c>
      <c r="B19" s="13">
        <f>12585+175767</f>
        <v>188352</v>
      </c>
      <c r="C19" s="13">
        <f>164088+13546</f>
        <v>177634</v>
      </c>
      <c r="D19" s="13">
        <f>185219-7236</f>
        <v>177983</v>
      </c>
      <c r="E19" s="13">
        <f>159621+10498</f>
        <v>170119</v>
      </c>
      <c r="F19" s="13">
        <f>138802+8841</f>
        <v>147643</v>
      </c>
      <c r="G19" s="13">
        <f>95702+9912</f>
        <v>105614</v>
      </c>
      <c r="H19" s="13">
        <f>77614+8950</f>
        <v>86564</v>
      </c>
      <c r="I19" s="13">
        <f>85646+10848</f>
        <v>96494</v>
      </c>
      <c r="J19" s="13">
        <f>11037+96610</f>
        <v>107647</v>
      </c>
      <c r="K19" s="13">
        <f>10834+134108</f>
        <v>144942</v>
      </c>
      <c r="L19" s="13">
        <f>10670+148541</f>
        <v>159211</v>
      </c>
      <c r="M19" s="13">
        <f>16322+192170</f>
        <v>208492</v>
      </c>
      <c r="N19" s="8">
        <f t="shared" si="2"/>
        <v>1770695</v>
      </c>
    </row>
    <row r="20" spans="1:14" ht="19.5" customHeight="1">
      <c r="A20" s="21" t="s">
        <v>0</v>
      </c>
      <c r="B20" s="14">
        <v>3348799</v>
      </c>
      <c r="C20" s="14">
        <v>3007173</v>
      </c>
      <c r="D20" s="14">
        <v>3292069</v>
      </c>
      <c r="E20" s="14">
        <v>2441255</v>
      </c>
      <c r="F20" s="14">
        <v>2048456</v>
      </c>
      <c r="G20" s="14">
        <v>1577906</v>
      </c>
      <c r="H20" s="14">
        <v>1548441</v>
      </c>
      <c r="I20" s="14">
        <v>1532686</v>
      </c>
      <c r="J20" s="14">
        <v>2048726</v>
      </c>
      <c r="K20" s="14">
        <v>2393022</v>
      </c>
      <c r="L20" s="14">
        <v>2629067</v>
      </c>
      <c r="M20" s="14">
        <v>3014870</v>
      </c>
      <c r="N20" s="8">
        <f t="shared" si="5"/>
        <v>28882470</v>
      </c>
    </row>
    <row r="21" spans="1:14" ht="19.5" customHeight="1">
      <c r="A21" s="21" t="s">
        <v>1</v>
      </c>
      <c r="B21" s="14">
        <v>1869836</v>
      </c>
      <c r="C21" s="14">
        <v>1829035</v>
      </c>
      <c r="D21" s="14">
        <v>1672788</v>
      </c>
      <c r="E21" s="14">
        <v>1316739</v>
      </c>
      <c r="F21" s="14">
        <v>1213229</v>
      </c>
      <c r="G21" s="14">
        <v>1139298</v>
      </c>
      <c r="H21" s="14">
        <v>1076194</v>
      </c>
      <c r="I21" s="14">
        <v>1086935</v>
      </c>
      <c r="J21" s="14">
        <v>1364468</v>
      </c>
      <c r="K21" s="14">
        <v>1334152</v>
      </c>
      <c r="L21" s="14">
        <v>1466056</v>
      </c>
      <c r="M21" s="14">
        <v>1631804</v>
      </c>
      <c r="N21" s="8">
        <f t="shared" si="5"/>
        <v>17000534</v>
      </c>
    </row>
    <row r="22" spans="1:14" ht="19.5" customHeight="1">
      <c r="A22" s="21" t="s">
        <v>23</v>
      </c>
      <c r="B22" s="14">
        <f>269645+1947</f>
        <v>271592</v>
      </c>
      <c r="C22" s="14">
        <f>244132+530</f>
        <v>244662</v>
      </c>
      <c r="D22" s="14">
        <v>419434</v>
      </c>
      <c r="E22" s="14">
        <f>233603+1417</f>
        <v>235020</v>
      </c>
      <c r="F22" s="14">
        <f>235713+1584</f>
        <v>237297</v>
      </c>
      <c r="G22" s="14">
        <f>247007+984</f>
        <v>247991</v>
      </c>
      <c r="H22" s="14">
        <f>167294+1333</f>
        <v>168627</v>
      </c>
      <c r="I22" s="14">
        <f>156180+2376</f>
        <v>158556</v>
      </c>
      <c r="J22" s="14">
        <f>1104+254767</f>
        <v>255871</v>
      </c>
      <c r="K22" s="14">
        <f>240258+1915</f>
        <v>242173</v>
      </c>
      <c r="L22" s="14">
        <f>234445+2040</f>
        <v>236485</v>
      </c>
      <c r="M22" s="14">
        <f>356680+1948</f>
        <v>358628</v>
      </c>
      <c r="N22" s="8">
        <f t="shared" si="5"/>
        <v>3076336</v>
      </c>
    </row>
    <row r="23" spans="1:14" ht="19.5" customHeight="1">
      <c r="A23" s="21" t="s">
        <v>2</v>
      </c>
      <c r="B23" s="14">
        <f>4546693+219964</f>
        <v>4766657</v>
      </c>
      <c r="C23" s="14">
        <f>4444261+240699</f>
        <v>4684960</v>
      </c>
      <c r="D23" s="14">
        <v>4539823</v>
      </c>
      <c r="E23" s="14">
        <f>4135438+170581</f>
        <v>4306019</v>
      </c>
      <c r="F23" s="14">
        <f>3818470+192681</f>
        <v>4011151</v>
      </c>
      <c r="G23" s="14">
        <f>4256492+200100</f>
        <v>4456592</v>
      </c>
      <c r="H23" s="14">
        <f>4074916+190783</f>
        <v>4265699</v>
      </c>
      <c r="I23" s="14">
        <f>4238336+205686</f>
        <v>4444022</v>
      </c>
      <c r="J23" s="14">
        <f>4642711+250416</f>
        <v>4893127</v>
      </c>
      <c r="K23" s="14">
        <f>3946688+182188</f>
        <v>4128876</v>
      </c>
      <c r="L23" s="14">
        <f>4422361+207945</f>
        <v>4630306</v>
      </c>
      <c r="M23" s="14">
        <f>4435988+206069</f>
        <v>4642057</v>
      </c>
      <c r="N23" s="8">
        <f t="shared" si="5"/>
        <v>53769289</v>
      </c>
    </row>
    <row r="24" spans="1:18" ht="19.5" customHeight="1">
      <c r="A24" s="23" t="s">
        <v>28</v>
      </c>
      <c r="B24" s="11">
        <f>B7-B11-B16</f>
        <v>1347022</v>
      </c>
      <c r="C24" s="11">
        <f aca="true" t="shared" si="6" ref="C24:N24">C7-C11-C16</f>
        <v>1148855</v>
      </c>
      <c r="D24" s="11">
        <f t="shared" si="6"/>
        <v>926501</v>
      </c>
      <c r="E24" s="11">
        <f t="shared" si="6"/>
        <v>1190309</v>
      </c>
      <c r="F24" s="11">
        <f t="shared" si="6"/>
        <v>1071217</v>
      </c>
      <c r="G24" s="11">
        <f t="shared" si="6"/>
        <v>550321</v>
      </c>
      <c r="H24" s="11">
        <f t="shared" si="6"/>
        <v>778951</v>
      </c>
      <c r="I24" s="11">
        <f>I7-I11-I16</f>
        <v>1356859</v>
      </c>
      <c r="J24" s="11">
        <f>J7-J11-J16</f>
        <v>98112</v>
      </c>
      <c r="K24" s="11">
        <f t="shared" si="6"/>
        <v>1577157</v>
      </c>
      <c r="L24" s="11">
        <f>L7-L11-L16</f>
        <v>1430282</v>
      </c>
      <c r="M24" s="11">
        <f>M7-M11-M16</f>
        <v>2121477</v>
      </c>
      <c r="N24" s="11">
        <f t="shared" si="6"/>
        <v>13597063</v>
      </c>
      <c r="O24" s="31"/>
      <c r="Q24" s="32"/>
      <c r="R24" s="32"/>
    </row>
    <row r="25" spans="1:18" ht="19.5" customHeight="1">
      <c r="A25" s="35" t="s">
        <v>30</v>
      </c>
      <c r="B25" s="13">
        <f>37527+12342</f>
        <v>49869</v>
      </c>
      <c r="C25" s="13">
        <f>35201+12878</f>
        <v>48079</v>
      </c>
      <c r="D25" s="13">
        <v>48129</v>
      </c>
      <c r="E25" s="13">
        <f>30544+11220</f>
        <v>41764</v>
      </c>
      <c r="F25" s="13">
        <f>10004+27261</f>
        <v>37265</v>
      </c>
      <c r="G25" s="13">
        <f>10061+27759</f>
        <v>37820</v>
      </c>
      <c r="H25" s="13">
        <f>25691+9282</f>
        <v>34973</v>
      </c>
      <c r="I25" s="13">
        <f>28657+10351</f>
        <v>39008</v>
      </c>
      <c r="J25" s="13">
        <f>10099+279</f>
        <v>10378</v>
      </c>
      <c r="K25" s="13">
        <v>31600</v>
      </c>
      <c r="L25" s="13">
        <f>33714+12308</f>
        <v>46022</v>
      </c>
      <c r="M25" s="13">
        <f>14025+38233</f>
        <v>52258</v>
      </c>
      <c r="N25" s="36">
        <f>SUM(B25:M25)</f>
        <v>477165</v>
      </c>
      <c r="O25" s="31"/>
      <c r="Q25" s="32"/>
      <c r="R25" s="32"/>
    </row>
    <row r="26" spans="1:18" ht="19.5" customHeight="1">
      <c r="A26" s="35" t="s">
        <v>31</v>
      </c>
      <c r="B26" s="13">
        <v>440072</v>
      </c>
      <c r="C26" s="13">
        <v>360663</v>
      </c>
      <c r="D26" s="13">
        <v>492767</v>
      </c>
      <c r="E26" s="13">
        <v>505840</v>
      </c>
      <c r="F26" s="13">
        <v>398278</v>
      </c>
      <c r="G26" s="13">
        <v>190093</v>
      </c>
      <c r="H26" s="13">
        <v>392429</v>
      </c>
      <c r="I26" s="13">
        <v>411839</v>
      </c>
      <c r="J26" s="13">
        <v>52618</v>
      </c>
      <c r="K26" s="13">
        <v>563365</v>
      </c>
      <c r="L26" s="13">
        <v>497285</v>
      </c>
      <c r="M26" s="13">
        <v>697750</v>
      </c>
      <c r="N26" s="36">
        <f>SUM(B26:M26)</f>
        <v>5002999</v>
      </c>
      <c r="O26" s="31"/>
      <c r="Q26" s="32"/>
      <c r="R26" s="32"/>
    </row>
    <row r="27" spans="1:18" ht="19.5" customHeight="1">
      <c r="A27" s="35" t="s">
        <v>32</v>
      </c>
      <c r="B27" s="13">
        <v>857081</v>
      </c>
      <c r="C27" s="13">
        <v>740113</v>
      </c>
      <c r="D27" s="13">
        <v>385605</v>
      </c>
      <c r="E27" s="13">
        <v>642705</v>
      </c>
      <c r="F27" s="13">
        <v>635674</v>
      </c>
      <c r="G27" s="13">
        <v>322408</v>
      </c>
      <c r="H27" s="13">
        <v>351549</v>
      </c>
      <c r="I27" s="13">
        <v>906012</v>
      </c>
      <c r="J27" s="13">
        <v>35116</v>
      </c>
      <c r="K27" s="13">
        <v>970669</v>
      </c>
      <c r="L27" s="13">
        <v>886975</v>
      </c>
      <c r="M27" s="13">
        <v>1371469</v>
      </c>
      <c r="N27" s="36">
        <f>SUM(B27:M27)</f>
        <v>8105376</v>
      </c>
      <c r="O27" s="31"/>
      <c r="Q27" s="32"/>
      <c r="R27" s="32"/>
    </row>
    <row r="28" spans="1:18" ht="19.5" customHeight="1">
      <c r="A28" s="24" t="s">
        <v>5</v>
      </c>
      <c r="B28" s="15">
        <v>1189300</v>
      </c>
      <c r="C28" s="15">
        <v>1048000</v>
      </c>
      <c r="D28" s="15">
        <v>913601</v>
      </c>
      <c r="E28" s="15">
        <v>887900</v>
      </c>
      <c r="F28" s="15">
        <v>818500</v>
      </c>
      <c r="G28" s="37">
        <v>540260</v>
      </c>
      <c r="H28" s="37">
        <v>709200</v>
      </c>
      <c r="I28" s="15">
        <v>791200</v>
      </c>
      <c r="J28" s="37">
        <v>88013</v>
      </c>
      <c r="K28" s="15">
        <v>971800</v>
      </c>
      <c r="L28" s="15">
        <v>1016700</v>
      </c>
      <c r="M28" s="15">
        <v>1138700</v>
      </c>
      <c r="N28" s="9">
        <f>SUM(B28:M28)</f>
        <v>10113174</v>
      </c>
      <c r="Q28" s="33"/>
      <c r="R28" s="32"/>
    </row>
    <row r="29" spans="1:18" ht="19.5" customHeight="1">
      <c r="A29" s="25" t="s">
        <v>27</v>
      </c>
      <c r="B29" s="28">
        <f>B28/B7*100</f>
        <v>10.012163941544722</v>
      </c>
      <c r="C29" s="28">
        <f aca="true" t="shared" si="7" ref="C29:M29">C28/C7*100</f>
        <v>9.372407328757488</v>
      </c>
      <c r="D29" s="28">
        <f t="shared" si="7"/>
        <v>8.229488993971293</v>
      </c>
      <c r="E29" s="28">
        <f t="shared" si="7"/>
        <v>9.132426666480157</v>
      </c>
      <c r="F29" s="28">
        <f>F28/F7*100</f>
        <v>9.323603068530476</v>
      </c>
      <c r="G29" s="28">
        <f t="shared" si="7"/>
        <v>6.671904472692811</v>
      </c>
      <c r="H29" s="28">
        <f t="shared" si="7"/>
        <v>8.932456797175167</v>
      </c>
      <c r="I29" s="28">
        <f t="shared" si="7"/>
        <v>9.101771773993066</v>
      </c>
      <c r="J29" s="28">
        <f t="shared" si="7"/>
        <v>0.9996546022013459</v>
      </c>
      <c r="K29" s="28">
        <f t="shared" si="7"/>
        <v>9.843426914429038</v>
      </c>
      <c r="L29" s="28">
        <f t="shared" si="7"/>
        <v>9.573627523458777</v>
      </c>
      <c r="M29" s="28">
        <f t="shared" si="7"/>
        <v>9.447181032363584</v>
      </c>
      <c r="N29" s="29">
        <f>N28/N7*100</f>
        <v>8.516849057553976</v>
      </c>
      <c r="P29" s="34"/>
      <c r="Q29" s="32"/>
      <c r="R29" s="32"/>
    </row>
    <row r="30" spans="1:18" ht="19.5" customHeight="1">
      <c r="A30" s="24" t="s">
        <v>6</v>
      </c>
      <c r="B30" s="15">
        <f aca="true" t="shared" si="8" ref="B30:L30">IF(B24&gt;B28,B24-B28,0)</f>
        <v>157722</v>
      </c>
      <c r="C30" s="15">
        <f t="shared" si="8"/>
        <v>100855</v>
      </c>
      <c r="D30" s="15">
        <f t="shared" si="8"/>
        <v>12900</v>
      </c>
      <c r="E30" s="15">
        <f t="shared" si="8"/>
        <v>302409</v>
      </c>
      <c r="F30" s="15">
        <f t="shared" si="8"/>
        <v>252717</v>
      </c>
      <c r="G30" s="15">
        <f t="shared" si="8"/>
        <v>10061</v>
      </c>
      <c r="H30" s="15">
        <f t="shared" si="8"/>
        <v>69751</v>
      </c>
      <c r="I30" s="15">
        <f>IF(I24&gt;I28,I24-I28,0)</f>
        <v>565659</v>
      </c>
      <c r="J30" s="15">
        <f t="shared" si="8"/>
        <v>10099</v>
      </c>
      <c r="K30" s="15">
        <f t="shared" si="8"/>
        <v>605357</v>
      </c>
      <c r="L30" s="15">
        <f t="shared" si="8"/>
        <v>413582</v>
      </c>
      <c r="M30" s="15">
        <f>IF(M24&gt;M28,M24-M28,0)</f>
        <v>982777</v>
      </c>
      <c r="N30" s="9">
        <f>SUM(B30:M30)</f>
        <v>3483889</v>
      </c>
      <c r="R30" s="31"/>
    </row>
    <row r="31" spans="1:16" ht="19.5" customHeight="1">
      <c r="A31" s="25" t="s">
        <v>27</v>
      </c>
      <c r="B31" s="28">
        <f aca="true" t="shared" si="9" ref="B31:M31">B30/B7*100</f>
        <v>1.3277882125521876</v>
      </c>
      <c r="C31" s="28">
        <f t="shared" si="9"/>
        <v>0.901960058341447</v>
      </c>
      <c r="D31" s="28">
        <f t="shared" si="9"/>
        <v>0.11619996915746555</v>
      </c>
      <c r="E31" s="28">
        <f t="shared" si="9"/>
        <v>3.1104043425876764</v>
      </c>
      <c r="F31" s="28">
        <f t="shared" si="9"/>
        <v>2.8787208267193845</v>
      </c>
      <c r="G31" s="28">
        <f t="shared" si="9"/>
        <v>0.12424764169059781</v>
      </c>
      <c r="H31" s="28">
        <f t="shared" si="9"/>
        <v>0.8785219882399395</v>
      </c>
      <c r="I31" s="28">
        <f t="shared" si="9"/>
        <v>6.507203134359384</v>
      </c>
      <c r="J31" s="28">
        <f t="shared" si="9"/>
        <v>0.11470478028963213</v>
      </c>
      <c r="K31" s="28">
        <f t="shared" si="9"/>
        <v>6.131701365134821</v>
      </c>
      <c r="L31" s="28">
        <f t="shared" si="9"/>
        <v>3.8944428232587076</v>
      </c>
      <c r="M31" s="28">
        <f t="shared" si="9"/>
        <v>8.153571821764457</v>
      </c>
      <c r="N31" s="29">
        <f>N30/N7*100</f>
        <v>2.933970754015769</v>
      </c>
      <c r="O31" s="19"/>
      <c r="P31" s="19"/>
    </row>
    <row r="32" spans="1:14" ht="40.5" customHeight="1">
      <c r="A32" s="24" t="s">
        <v>3</v>
      </c>
      <c r="B32" s="16">
        <f aca="true" t="shared" si="10" ref="B32:N32">+IF(B7=0,"-",B24/B7)</f>
        <v>0.11339952154096909</v>
      </c>
      <c r="C32" s="16">
        <f>+IF(C7=0,"-",C24/C7)</f>
        <v>0.10274367387098934</v>
      </c>
      <c r="D32" s="16">
        <f t="shared" si="10"/>
        <v>0.08345688963128758</v>
      </c>
      <c r="E32" s="16">
        <f t="shared" si="10"/>
        <v>0.12242831009067834</v>
      </c>
      <c r="F32" s="16">
        <f t="shared" si="10"/>
        <v>0.1220232389524986</v>
      </c>
      <c r="G32" s="16">
        <f t="shared" si="10"/>
        <v>0.0679615211438341</v>
      </c>
      <c r="H32" s="16">
        <f t="shared" si="10"/>
        <v>0.09810978785415107</v>
      </c>
      <c r="I32" s="16">
        <f t="shared" si="10"/>
        <v>0.15608974908352452</v>
      </c>
      <c r="J32" s="16">
        <f t="shared" si="10"/>
        <v>0.01114359382490978</v>
      </c>
      <c r="K32" s="16">
        <f>+IF(K7=0,"-",K24/K7)</f>
        <v>0.15975128279563858</v>
      </c>
      <c r="L32" s="16">
        <f>+IF(L7=0,"-",L24/L7)</f>
        <v>0.13468070346717484</v>
      </c>
      <c r="M32" s="16">
        <f t="shared" si="10"/>
        <v>0.1760075285412804</v>
      </c>
      <c r="N32" s="17">
        <f t="shared" si="10"/>
        <v>0.11450819811569746</v>
      </c>
    </row>
    <row r="35" ht="15">
      <c r="N35" s="31"/>
    </row>
    <row r="36" ht="15">
      <c r="N36" s="31"/>
    </row>
    <row r="37" ht="15">
      <c r="A37" s="18"/>
    </row>
  </sheetData>
  <sheetProtection/>
  <mergeCells count="5">
    <mergeCell ref="B6:N6"/>
    <mergeCell ref="A1:D1"/>
    <mergeCell ref="A2:H2"/>
    <mergeCell ref="A4:A5"/>
    <mergeCell ref="B4:N4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2021-04-09T12:00:58Z</cp:lastPrinted>
  <dcterms:created xsi:type="dcterms:W3CDTF">2009-03-31T06:53:37Z</dcterms:created>
  <dcterms:modified xsi:type="dcterms:W3CDTF">2021-04-21T06:33:31Z</dcterms:modified>
  <cp:category/>
  <cp:version/>
  <cp:contentType/>
  <cp:contentStatus/>
</cp:coreProperties>
</file>